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earn-my.sharepoint.com/personal/sales_crea-rn_org_br/Documents/Crea-RN - Isolamento (1)/Tomada de Contas 2022/Abril/"/>
    </mc:Choice>
  </mc:AlternateContent>
  <xr:revisionPtr revIDLastSave="23" documentId="11_5486113108B0EAAEC036FBC57EFA14A2EB309031" xr6:coauthVersionLast="47" xr6:coauthVersionMax="47" xr10:uidLastSave="{429125E3-96E4-440B-B7C3-5B97B03798F4}"/>
  <bookViews>
    <workbookView xWindow="-120" yWindow="-120" windowWidth="29040" windowHeight="15840" tabRatio="500" activeTab="1" xr2:uid="{00000000-000D-0000-FFFF-FFFF00000000}"/>
  </bookViews>
  <sheets>
    <sheet name="Diárias de Servidores" sheetId="1" r:id="rId1"/>
    <sheet name="Diárias de Conselheiros" sheetId="2" r:id="rId2"/>
    <sheet name="Comparativos" sheetId="3" state="hidden" r:id="rId3"/>
    <sheet name="Receitas" sheetId="4" state="hidden" r:id="rId4"/>
    <sheet name="Despesas" sheetId="5" state="hidden" r:id="rId5"/>
    <sheet name="Balanço Financeiro" sheetId="6" state="hidden" r:id="rId6"/>
    <sheet name="Receita x Despesa por origem" sheetId="7" state="hidden" r:id="rId7"/>
    <sheet name="Dívida Ativa" sheetId="8" state="hidden" r:id="rId8"/>
    <sheet name="Multas" sheetId="9" state="hidden" r:id="rId9"/>
    <sheet name="ART´s" sheetId="10" state="hidden" r:id="rId10"/>
    <sheet name="Diárias de Convidados" sheetId="11" r:id="rId11"/>
    <sheet name="LRFiscal" sheetId="12" state="hidden" r:id="rId12"/>
    <sheet name="Demais Despesas" sheetId="13" state="hidden" r:id="rId13"/>
    <sheet name="Conciliação Bancária" sheetId="14" state="hidden" r:id="rId14"/>
    <sheet name="Planilha2" sheetId="15" state="hidden" r:id="rId15"/>
  </sheets>
  <definedNames>
    <definedName name="_xlnm.Print_Area" localSheetId="2">Comparativos!$A$1:$M$40</definedName>
    <definedName name="_xlnm.Print_Area" localSheetId="0">'Diárias de Servidores'!$A$1:$H$43</definedName>
    <definedName name="_xlnm.Print_Area" localSheetId="3">Receitas!$A$1:$P$44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" i="14" l="1"/>
  <c r="D19" i="14" s="1"/>
  <c r="D18" i="14"/>
  <c r="C18" i="14"/>
  <c r="D17" i="14"/>
  <c r="C17" i="14"/>
  <c r="D16" i="14"/>
  <c r="C16" i="14"/>
  <c r="D15" i="14"/>
  <c r="C15" i="14"/>
  <c r="D14" i="14"/>
  <c r="C14" i="14"/>
  <c r="D13" i="14"/>
  <c r="C13" i="14"/>
  <c r="D12" i="14"/>
  <c r="C12" i="14"/>
  <c r="D11" i="14"/>
  <c r="C11" i="14"/>
  <c r="D10" i="14"/>
  <c r="C10" i="14"/>
  <c r="D9" i="14"/>
  <c r="C9" i="14"/>
  <c r="D8" i="14"/>
  <c r="C8" i="14"/>
  <c r="D7" i="14"/>
  <c r="D6" i="14"/>
  <c r="D5" i="14"/>
  <c r="C5" i="14"/>
  <c r="D4" i="14"/>
  <c r="C4" i="14"/>
  <c r="D3" i="14"/>
  <c r="C3" i="14"/>
  <c r="C19" i="14" s="1"/>
  <c r="E63" i="13"/>
  <c r="D63" i="13"/>
  <c r="E61" i="13"/>
  <c r="D61" i="13"/>
  <c r="E55" i="13"/>
  <c r="D55" i="13"/>
  <c r="E54" i="13"/>
  <c r="D54" i="13"/>
  <c r="E51" i="13"/>
  <c r="E46" i="13" s="1"/>
  <c r="D46" i="13"/>
  <c r="C46" i="13"/>
  <c r="E43" i="13"/>
  <c r="D43" i="13"/>
  <c r="C43" i="13"/>
  <c r="E39" i="13"/>
  <c r="D39" i="13"/>
  <c r="C39" i="13"/>
  <c r="E36" i="13"/>
  <c r="D36" i="13"/>
  <c r="C36" i="13"/>
  <c r="E31" i="13"/>
  <c r="D31" i="13"/>
  <c r="C31" i="13"/>
  <c r="E29" i="13"/>
  <c r="D29" i="13"/>
  <c r="E28" i="13"/>
  <c r="D28" i="13"/>
  <c r="C28" i="13"/>
  <c r="E26" i="13"/>
  <c r="D26" i="13"/>
  <c r="D11" i="13" s="1"/>
  <c r="C26" i="13"/>
  <c r="E12" i="13"/>
  <c r="E11" i="13" s="1"/>
  <c r="D12" i="13"/>
  <c r="C12" i="13"/>
  <c r="C11" i="13" s="1"/>
  <c r="E8" i="13"/>
  <c r="D8" i="13"/>
  <c r="C8" i="13"/>
  <c r="E6" i="13"/>
  <c r="D6" i="13"/>
  <c r="D4" i="13" s="1"/>
  <c r="E5" i="13"/>
  <c r="E4" i="13" s="1"/>
  <c r="D5" i="13"/>
  <c r="C4" i="13"/>
  <c r="E110" i="12"/>
  <c r="L14" i="12" s="1"/>
  <c r="L20" i="12" s="1"/>
  <c r="D110" i="12"/>
  <c r="C110" i="12"/>
  <c r="G110" i="12" s="1"/>
  <c r="B110" i="12"/>
  <c r="E109" i="12"/>
  <c r="D109" i="12"/>
  <c r="G109" i="12" s="1"/>
  <c r="C109" i="12"/>
  <c r="B109" i="12"/>
  <c r="D108" i="12"/>
  <c r="C108" i="12"/>
  <c r="B108" i="12"/>
  <c r="G108" i="12" s="1"/>
  <c r="E107" i="12"/>
  <c r="D107" i="12"/>
  <c r="C107" i="12"/>
  <c r="G107" i="12" s="1"/>
  <c r="B107" i="12"/>
  <c r="E106" i="12"/>
  <c r="D106" i="12"/>
  <c r="G106" i="12" s="1"/>
  <c r="C106" i="12"/>
  <c r="B106" i="12"/>
  <c r="E105" i="12"/>
  <c r="D105" i="12"/>
  <c r="C105" i="12"/>
  <c r="G105" i="12" s="1"/>
  <c r="B105" i="12"/>
  <c r="E104" i="12"/>
  <c r="D104" i="12"/>
  <c r="G104" i="12" s="1"/>
  <c r="C104" i="12"/>
  <c r="B104" i="12"/>
  <c r="E103" i="12"/>
  <c r="D103" i="12"/>
  <c r="C103" i="12"/>
  <c r="G103" i="12" s="1"/>
  <c r="B103" i="12"/>
  <c r="E102" i="12"/>
  <c r="D102" i="12"/>
  <c r="G102" i="12" s="1"/>
  <c r="C102" i="12"/>
  <c r="B102" i="12"/>
  <c r="E101" i="12"/>
  <c r="D101" i="12"/>
  <c r="C101" i="12"/>
  <c r="G101" i="12" s="1"/>
  <c r="B101" i="12"/>
  <c r="G100" i="12"/>
  <c r="E100" i="12"/>
  <c r="D100" i="12"/>
  <c r="C100" i="12"/>
  <c r="B100" i="12"/>
  <c r="E99" i="12"/>
  <c r="G99" i="12" s="1"/>
  <c r="E98" i="12"/>
  <c r="D98" i="12"/>
  <c r="C98" i="12"/>
  <c r="G98" i="12" s="1"/>
  <c r="B98" i="12"/>
  <c r="E97" i="12"/>
  <c r="D97" i="12"/>
  <c r="G97" i="12" s="1"/>
  <c r="C97" i="12"/>
  <c r="B97" i="12"/>
  <c r="G96" i="12"/>
  <c r="E96" i="12"/>
  <c r="D96" i="12"/>
  <c r="C96" i="12"/>
  <c r="B96" i="12"/>
  <c r="E95" i="12"/>
  <c r="D95" i="12"/>
  <c r="G95" i="12" s="1"/>
  <c r="C95" i="12"/>
  <c r="B95" i="12"/>
  <c r="E94" i="12"/>
  <c r="D94" i="12"/>
  <c r="C94" i="12"/>
  <c r="G94" i="12" s="1"/>
  <c r="B94" i="12"/>
  <c r="G93" i="12"/>
  <c r="B93" i="12"/>
  <c r="E92" i="12"/>
  <c r="D92" i="12"/>
  <c r="G92" i="12" s="1"/>
  <c r="C92" i="12"/>
  <c r="B92" i="12"/>
  <c r="E91" i="12"/>
  <c r="D91" i="12"/>
  <c r="C91" i="12"/>
  <c r="G91" i="12" s="1"/>
  <c r="B91" i="12"/>
  <c r="E90" i="12"/>
  <c r="D90" i="12"/>
  <c r="G90" i="12" s="1"/>
  <c r="C90" i="12"/>
  <c r="B90" i="12"/>
  <c r="G89" i="12"/>
  <c r="E89" i="12"/>
  <c r="D89" i="12"/>
  <c r="C89" i="12"/>
  <c r="B89" i="12"/>
  <c r="E88" i="12"/>
  <c r="D88" i="12"/>
  <c r="G88" i="12" s="1"/>
  <c r="C88" i="12"/>
  <c r="B88" i="12"/>
  <c r="G87" i="12"/>
  <c r="F86" i="12"/>
  <c r="D86" i="12"/>
  <c r="G86" i="12" s="1"/>
  <c r="C86" i="12"/>
  <c r="B86" i="12"/>
  <c r="G85" i="12"/>
  <c r="F85" i="12"/>
  <c r="D85" i="12"/>
  <c r="C85" i="12"/>
  <c r="B85" i="12"/>
  <c r="D84" i="12"/>
  <c r="C84" i="12"/>
  <c r="G84" i="12" s="1"/>
  <c r="B84" i="12"/>
  <c r="D83" i="12"/>
  <c r="C83" i="12"/>
  <c r="G83" i="12" s="1"/>
  <c r="B83" i="12"/>
  <c r="D82" i="12"/>
  <c r="C82" i="12"/>
  <c r="G82" i="12" s="1"/>
  <c r="B82" i="12"/>
  <c r="F81" i="12"/>
  <c r="D81" i="12"/>
  <c r="G81" i="12" s="1"/>
  <c r="C81" i="12"/>
  <c r="B81" i="12"/>
  <c r="F80" i="12"/>
  <c r="D80" i="12"/>
  <c r="C80" i="12"/>
  <c r="G80" i="12" s="1"/>
  <c r="B80" i="12"/>
  <c r="D79" i="12"/>
  <c r="C79" i="12"/>
  <c r="G79" i="12" s="1"/>
  <c r="B79" i="12"/>
  <c r="G78" i="12"/>
  <c r="D78" i="12"/>
  <c r="C78" i="12"/>
  <c r="B78" i="12"/>
  <c r="D77" i="12"/>
  <c r="C77" i="12"/>
  <c r="G77" i="12" s="1"/>
  <c r="B77" i="12"/>
  <c r="G76" i="12"/>
  <c r="E76" i="12"/>
  <c r="D76" i="12"/>
  <c r="C76" i="12"/>
  <c r="B76" i="12"/>
  <c r="D75" i="12"/>
  <c r="G75" i="12" s="1"/>
  <c r="C75" i="12"/>
  <c r="B75" i="12"/>
  <c r="G74" i="12"/>
  <c r="F74" i="12"/>
  <c r="E74" i="12"/>
  <c r="D74" i="12"/>
  <c r="C74" i="12"/>
  <c r="B74" i="12"/>
  <c r="E73" i="12"/>
  <c r="D73" i="12"/>
  <c r="C73" i="12"/>
  <c r="G73" i="12" s="1"/>
  <c r="B73" i="12"/>
  <c r="E72" i="12"/>
  <c r="D72" i="12"/>
  <c r="G72" i="12" s="1"/>
  <c r="C72" i="12"/>
  <c r="B72" i="12"/>
  <c r="G71" i="12"/>
  <c r="E71" i="12"/>
  <c r="D71" i="12"/>
  <c r="C71" i="12"/>
  <c r="B71" i="12"/>
  <c r="E70" i="12"/>
  <c r="D70" i="12"/>
  <c r="C70" i="12"/>
  <c r="G70" i="12" s="1"/>
  <c r="B70" i="12"/>
  <c r="E69" i="12"/>
  <c r="D69" i="12"/>
  <c r="C69" i="12"/>
  <c r="G69" i="12" s="1"/>
  <c r="B69" i="12"/>
  <c r="G68" i="12"/>
  <c r="E68" i="12"/>
  <c r="D68" i="12"/>
  <c r="C68" i="12"/>
  <c r="B68" i="12"/>
  <c r="E67" i="12"/>
  <c r="D67" i="12"/>
  <c r="C67" i="12"/>
  <c r="G67" i="12" s="1"/>
  <c r="B67" i="12"/>
  <c r="E66" i="12"/>
  <c r="D66" i="12"/>
  <c r="G66" i="12" s="1"/>
  <c r="C66" i="12"/>
  <c r="B66" i="12"/>
  <c r="E65" i="12"/>
  <c r="D65" i="12"/>
  <c r="C65" i="12"/>
  <c r="G65" i="12" s="1"/>
  <c r="B65" i="12"/>
  <c r="E64" i="12"/>
  <c r="D64" i="12"/>
  <c r="G64" i="12" s="1"/>
  <c r="C64" i="12"/>
  <c r="B64" i="12"/>
  <c r="G63" i="12"/>
  <c r="E63" i="12"/>
  <c r="D63" i="12"/>
  <c r="C63" i="12"/>
  <c r="B63" i="12"/>
  <c r="E62" i="12"/>
  <c r="D62" i="12"/>
  <c r="C62" i="12"/>
  <c r="G62" i="12" s="1"/>
  <c r="B62" i="12"/>
  <c r="E61" i="12"/>
  <c r="D61" i="12"/>
  <c r="C61" i="12"/>
  <c r="G61" i="12" s="1"/>
  <c r="B61" i="12"/>
  <c r="G60" i="12"/>
  <c r="E60" i="12"/>
  <c r="D60" i="12"/>
  <c r="C60" i="12"/>
  <c r="B60" i="12"/>
  <c r="E59" i="12"/>
  <c r="D59" i="12"/>
  <c r="C59" i="12"/>
  <c r="G59" i="12" s="1"/>
  <c r="B59" i="12"/>
  <c r="E58" i="12"/>
  <c r="G58" i="12" s="1"/>
  <c r="D58" i="12"/>
  <c r="C58" i="12"/>
  <c r="B58" i="12"/>
  <c r="E57" i="12"/>
  <c r="D57" i="12"/>
  <c r="C57" i="12"/>
  <c r="G57" i="12" s="1"/>
  <c r="B57" i="12"/>
  <c r="E56" i="12"/>
  <c r="D56" i="12"/>
  <c r="G56" i="12" s="1"/>
  <c r="C56" i="12"/>
  <c r="B56" i="12"/>
  <c r="G55" i="12"/>
  <c r="F55" i="12"/>
  <c r="E55" i="12"/>
  <c r="D55" i="12"/>
  <c r="C55" i="12"/>
  <c r="B55" i="12"/>
  <c r="E54" i="12"/>
  <c r="D54" i="12"/>
  <c r="C54" i="12"/>
  <c r="G54" i="12" s="1"/>
  <c r="B54" i="12"/>
  <c r="E53" i="12"/>
  <c r="D53" i="12"/>
  <c r="G53" i="12" s="1"/>
  <c r="C53" i="12"/>
  <c r="B53" i="12"/>
  <c r="K52" i="12"/>
  <c r="J52" i="12"/>
  <c r="G52" i="12"/>
  <c r="E52" i="12"/>
  <c r="D52" i="12"/>
  <c r="C52" i="12"/>
  <c r="B52" i="12"/>
  <c r="K51" i="12"/>
  <c r="J51" i="12"/>
  <c r="E51" i="12"/>
  <c r="G51" i="12" s="1"/>
  <c r="D51" i="12"/>
  <c r="C51" i="12"/>
  <c r="B51" i="12"/>
  <c r="K50" i="12"/>
  <c r="J50" i="12"/>
  <c r="E50" i="12"/>
  <c r="D50" i="12"/>
  <c r="G50" i="12" s="1"/>
  <c r="C50" i="12"/>
  <c r="B50" i="12"/>
  <c r="K49" i="12"/>
  <c r="J49" i="12"/>
  <c r="G49" i="12"/>
  <c r="F49" i="12"/>
  <c r="E49" i="12"/>
  <c r="D49" i="12"/>
  <c r="C49" i="12"/>
  <c r="B49" i="12"/>
  <c r="K48" i="12"/>
  <c r="J48" i="12"/>
  <c r="G48" i="12"/>
  <c r="E48" i="12"/>
  <c r="D48" i="12"/>
  <c r="C48" i="12"/>
  <c r="B48" i="12"/>
  <c r="K47" i="12"/>
  <c r="J47" i="12"/>
  <c r="F47" i="12"/>
  <c r="E47" i="12"/>
  <c r="D47" i="12"/>
  <c r="C47" i="12"/>
  <c r="G47" i="12" s="1"/>
  <c r="B47" i="12"/>
  <c r="K46" i="12"/>
  <c r="J46" i="12"/>
  <c r="E46" i="12"/>
  <c r="D46" i="12"/>
  <c r="C46" i="12"/>
  <c r="G46" i="12" s="1"/>
  <c r="B46" i="12"/>
  <c r="K45" i="12"/>
  <c r="J45" i="12"/>
  <c r="E45" i="12"/>
  <c r="D45" i="12"/>
  <c r="C45" i="12"/>
  <c r="G45" i="12" s="1"/>
  <c r="B45" i="12"/>
  <c r="K44" i="12"/>
  <c r="J44" i="12"/>
  <c r="E44" i="12"/>
  <c r="D44" i="12"/>
  <c r="C44" i="12"/>
  <c r="G44" i="12" s="1"/>
  <c r="B44" i="12"/>
  <c r="K43" i="12"/>
  <c r="J43" i="12"/>
  <c r="E43" i="12"/>
  <c r="D43" i="12"/>
  <c r="G43" i="12" s="1"/>
  <c r="C43" i="12"/>
  <c r="B43" i="12"/>
  <c r="K42" i="12"/>
  <c r="J42" i="12"/>
  <c r="G42" i="12"/>
  <c r="E42" i="12"/>
  <c r="D42" i="12"/>
  <c r="C42" i="12"/>
  <c r="B42" i="12"/>
  <c r="K41" i="12"/>
  <c r="J41" i="12"/>
  <c r="G41" i="12"/>
  <c r="E41" i="12"/>
  <c r="D41" i="12"/>
  <c r="C41" i="12"/>
  <c r="B41" i="12"/>
  <c r="K40" i="12"/>
  <c r="J40" i="12"/>
  <c r="E40" i="12"/>
  <c r="D40" i="12"/>
  <c r="G40" i="12" s="1"/>
  <c r="C40" i="12"/>
  <c r="B40" i="12"/>
  <c r="K39" i="12"/>
  <c r="J39" i="12"/>
  <c r="G39" i="12"/>
  <c r="E39" i="12"/>
  <c r="D39" i="12"/>
  <c r="C39" i="12"/>
  <c r="B39" i="12"/>
  <c r="E38" i="12"/>
  <c r="D38" i="12"/>
  <c r="C38" i="12"/>
  <c r="G38" i="12" s="1"/>
  <c r="B38" i="12"/>
  <c r="G37" i="12"/>
  <c r="E37" i="12"/>
  <c r="D37" i="12"/>
  <c r="C37" i="12"/>
  <c r="B37" i="12"/>
  <c r="E36" i="12"/>
  <c r="D36" i="12"/>
  <c r="C36" i="12"/>
  <c r="G36" i="12" s="1"/>
  <c r="B36" i="12"/>
  <c r="E35" i="12"/>
  <c r="D35" i="12"/>
  <c r="G35" i="12" s="1"/>
  <c r="C35" i="12"/>
  <c r="B35" i="12"/>
  <c r="E34" i="12"/>
  <c r="D34" i="12"/>
  <c r="G34" i="12" s="1"/>
  <c r="C34" i="12"/>
  <c r="B34" i="12"/>
  <c r="E33" i="12"/>
  <c r="D33" i="12"/>
  <c r="C33" i="12"/>
  <c r="G33" i="12" s="1"/>
  <c r="B33" i="12"/>
  <c r="G32" i="12"/>
  <c r="E32" i="12"/>
  <c r="D32" i="12"/>
  <c r="C32" i="12"/>
  <c r="B32" i="12"/>
  <c r="G31" i="12"/>
  <c r="E31" i="12"/>
  <c r="D31" i="12"/>
  <c r="C31" i="12"/>
  <c r="B31" i="12"/>
  <c r="E30" i="12"/>
  <c r="D30" i="12"/>
  <c r="C30" i="12"/>
  <c r="G30" i="12" s="1"/>
  <c r="B30" i="12"/>
  <c r="E29" i="12"/>
  <c r="G29" i="12" s="1"/>
  <c r="D29" i="12"/>
  <c r="C29" i="12"/>
  <c r="B29" i="12"/>
  <c r="E28" i="12"/>
  <c r="D28" i="12"/>
  <c r="C28" i="12"/>
  <c r="G28" i="12" s="1"/>
  <c r="B28" i="12"/>
  <c r="E27" i="12"/>
  <c r="D27" i="12"/>
  <c r="G27" i="12" s="1"/>
  <c r="C27" i="12"/>
  <c r="B27" i="12"/>
  <c r="E26" i="12"/>
  <c r="D26" i="12"/>
  <c r="G26" i="12" s="1"/>
  <c r="C26" i="12"/>
  <c r="B26" i="12"/>
  <c r="E25" i="12"/>
  <c r="D25" i="12"/>
  <c r="C25" i="12"/>
  <c r="G25" i="12" s="1"/>
  <c r="B25" i="12"/>
  <c r="G24" i="12"/>
  <c r="E24" i="12"/>
  <c r="D24" i="12"/>
  <c r="C24" i="12"/>
  <c r="B24" i="12"/>
  <c r="G23" i="12"/>
  <c r="E23" i="12"/>
  <c r="D23" i="12"/>
  <c r="C23" i="12"/>
  <c r="B23" i="12"/>
  <c r="E22" i="12"/>
  <c r="D22" i="12"/>
  <c r="C22" i="12"/>
  <c r="G22" i="12" s="1"/>
  <c r="B22" i="12"/>
  <c r="G21" i="12"/>
  <c r="E21" i="12"/>
  <c r="D21" i="12"/>
  <c r="C21" i="12"/>
  <c r="B21" i="12"/>
  <c r="E20" i="12"/>
  <c r="D20" i="12"/>
  <c r="G20" i="12" s="1"/>
  <c r="C20" i="12"/>
  <c r="B20" i="12"/>
  <c r="E19" i="12"/>
  <c r="D19" i="12"/>
  <c r="C19" i="12"/>
  <c r="G19" i="12" s="1"/>
  <c r="B19" i="12"/>
  <c r="L18" i="12"/>
  <c r="E18" i="12"/>
  <c r="D18" i="12"/>
  <c r="G18" i="12" s="1"/>
  <c r="C18" i="12"/>
  <c r="B18" i="12"/>
  <c r="E17" i="12"/>
  <c r="D17" i="12"/>
  <c r="G17" i="12" s="1"/>
  <c r="C17" i="12"/>
  <c r="B17" i="12"/>
  <c r="L16" i="12"/>
  <c r="E16" i="12"/>
  <c r="D16" i="12"/>
  <c r="C16" i="12"/>
  <c r="G16" i="12" s="1"/>
  <c r="B16" i="12"/>
  <c r="E15" i="12"/>
  <c r="D15" i="12"/>
  <c r="G15" i="12" s="1"/>
  <c r="C15" i="12"/>
  <c r="B15" i="12"/>
  <c r="E14" i="12"/>
  <c r="G14" i="12" s="1"/>
  <c r="D14" i="12"/>
  <c r="C14" i="12"/>
  <c r="B14" i="12"/>
  <c r="D13" i="12"/>
  <c r="C13" i="12"/>
  <c r="G13" i="12" s="1"/>
  <c r="B13" i="12"/>
  <c r="L12" i="12"/>
  <c r="E12" i="12"/>
  <c r="D12" i="12"/>
  <c r="G12" i="12" s="1"/>
  <c r="C12" i="12"/>
  <c r="B12" i="12"/>
  <c r="E11" i="12"/>
  <c r="D11" i="12"/>
  <c r="C11" i="12"/>
  <c r="G11" i="12" s="1"/>
  <c r="B11" i="12"/>
  <c r="E10" i="12"/>
  <c r="D10" i="12"/>
  <c r="C10" i="12"/>
  <c r="G10" i="12" s="1"/>
  <c r="B10" i="12"/>
  <c r="E9" i="12"/>
  <c r="D9" i="12"/>
  <c r="C9" i="12"/>
  <c r="B9" i="12"/>
  <c r="G9" i="12" s="1"/>
  <c r="E8" i="12"/>
  <c r="D8" i="12"/>
  <c r="C8" i="12"/>
  <c r="G8" i="12" s="1"/>
  <c r="B8" i="12"/>
  <c r="E7" i="12"/>
  <c r="D7" i="12"/>
  <c r="C7" i="12"/>
  <c r="G7" i="12" s="1"/>
  <c r="B7" i="12"/>
  <c r="G6" i="12"/>
  <c r="E6" i="12"/>
  <c r="D6" i="12"/>
  <c r="C6" i="12"/>
  <c r="B6" i="12"/>
  <c r="L5" i="12"/>
  <c r="L10" i="12" s="1"/>
  <c r="E5" i="12"/>
  <c r="D5" i="12"/>
  <c r="C5" i="12"/>
  <c r="G5" i="12" s="1"/>
  <c r="B5" i="12"/>
  <c r="E4" i="12"/>
  <c r="D4" i="12"/>
  <c r="C4" i="12"/>
  <c r="G4" i="12" s="1"/>
  <c r="B4" i="12"/>
  <c r="G3" i="12"/>
  <c r="E3" i="12"/>
  <c r="D3" i="12"/>
  <c r="C3" i="12"/>
  <c r="B3" i="12"/>
  <c r="F6" i="11"/>
  <c r="E6" i="11"/>
  <c r="D20" i="10"/>
  <c r="B20" i="10"/>
  <c r="D19" i="10"/>
  <c r="B19" i="10"/>
  <c r="D17" i="10"/>
  <c r="D18" i="10" s="1"/>
  <c r="B17" i="10"/>
  <c r="B18" i="10" s="1"/>
  <c r="G16" i="10"/>
  <c r="F16" i="10"/>
  <c r="G15" i="10"/>
  <c r="F15" i="10"/>
  <c r="E15" i="10"/>
  <c r="E17" i="10" s="1"/>
  <c r="G17" i="10" s="1"/>
  <c r="C15" i="10"/>
  <c r="F14" i="10"/>
  <c r="C14" i="10"/>
  <c r="C17" i="10" s="1"/>
  <c r="G13" i="10"/>
  <c r="F13" i="10"/>
  <c r="G12" i="10"/>
  <c r="F12" i="10"/>
  <c r="G11" i="10"/>
  <c r="F11" i="10"/>
  <c r="G10" i="10"/>
  <c r="F10" i="10"/>
  <c r="G9" i="10"/>
  <c r="F9" i="10"/>
  <c r="G8" i="10"/>
  <c r="F8" i="10"/>
  <c r="G7" i="10"/>
  <c r="F7" i="10"/>
  <c r="F6" i="10"/>
  <c r="E6" i="10"/>
  <c r="G6" i="10" s="1"/>
  <c r="G5" i="10"/>
  <c r="F5" i="10"/>
  <c r="B49" i="9"/>
  <c r="D49" i="9" s="1"/>
  <c r="B48" i="9"/>
  <c r="B47" i="9"/>
  <c r="D47" i="9" s="1"/>
  <c r="D46" i="9"/>
  <c r="B46" i="9"/>
  <c r="D44" i="9"/>
  <c r="B44" i="9"/>
  <c r="B43" i="9"/>
  <c r="D43" i="9" s="1"/>
  <c r="D42" i="9"/>
  <c r="B42" i="9"/>
  <c r="D41" i="9"/>
  <c r="B41" i="9"/>
  <c r="D40" i="9"/>
  <c r="B40" i="9"/>
  <c r="B39" i="9"/>
  <c r="D39" i="9" s="1"/>
  <c r="D38" i="9"/>
  <c r="B38" i="9"/>
  <c r="B31" i="9"/>
  <c r="D31" i="9" s="1"/>
  <c r="D30" i="9"/>
  <c r="B30" i="9"/>
  <c r="B29" i="9"/>
  <c r="D29" i="9" s="1"/>
  <c r="B28" i="9"/>
  <c r="B32" i="9" s="1"/>
  <c r="C27" i="9"/>
  <c r="B45" i="9" s="1"/>
  <c r="D45" i="9" s="1"/>
  <c r="B27" i="9"/>
  <c r="D26" i="9"/>
  <c r="B26" i="9"/>
  <c r="D25" i="9"/>
  <c r="B25" i="9"/>
  <c r="D24" i="9"/>
  <c r="B24" i="9"/>
  <c r="B23" i="9"/>
  <c r="D23" i="9" s="1"/>
  <c r="D22" i="9"/>
  <c r="B22" i="9"/>
  <c r="D21" i="9"/>
  <c r="B21" i="9"/>
  <c r="D20" i="9"/>
  <c r="B20" i="9"/>
  <c r="C15" i="9"/>
  <c r="D15" i="9" s="1"/>
  <c r="B15" i="9"/>
  <c r="D14" i="9"/>
  <c r="D13" i="9"/>
  <c r="D12" i="9"/>
  <c r="D11" i="9"/>
  <c r="D10" i="9"/>
  <c r="D9" i="9"/>
  <c r="D8" i="9"/>
  <c r="D7" i="9"/>
  <c r="D6" i="9"/>
  <c r="D5" i="9"/>
  <c r="D4" i="9"/>
  <c r="D3" i="9"/>
  <c r="D51" i="8"/>
  <c r="B51" i="8"/>
  <c r="B50" i="8"/>
  <c r="B49" i="8"/>
  <c r="D49" i="8" s="1"/>
  <c r="D48" i="8"/>
  <c r="B48" i="8"/>
  <c r="B46" i="8"/>
  <c r="D46" i="8" s="1"/>
  <c r="B45" i="8"/>
  <c r="D45" i="8" s="1"/>
  <c r="D44" i="8"/>
  <c r="B44" i="8"/>
  <c r="B43" i="8"/>
  <c r="D43" i="8" s="1"/>
  <c r="B42" i="8"/>
  <c r="D42" i="8" s="1"/>
  <c r="B41" i="8"/>
  <c r="D41" i="8" s="1"/>
  <c r="D40" i="8"/>
  <c r="B40" i="8"/>
  <c r="D31" i="8"/>
  <c r="B31" i="8"/>
  <c r="B30" i="8"/>
  <c r="D30" i="8" s="1"/>
  <c r="D29" i="8"/>
  <c r="B29" i="8"/>
  <c r="D28" i="8"/>
  <c r="B28" i="8"/>
  <c r="D27" i="8"/>
  <c r="C27" i="8"/>
  <c r="B47" i="8" s="1"/>
  <c r="D47" i="8" s="1"/>
  <c r="B27" i="8"/>
  <c r="D26" i="8"/>
  <c r="B26" i="8"/>
  <c r="C25" i="8"/>
  <c r="D25" i="8" s="1"/>
  <c r="B25" i="8"/>
  <c r="D24" i="8"/>
  <c r="B24" i="8"/>
  <c r="B23" i="8"/>
  <c r="D23" i="8" s="1"/>
  <c r="D22" i="8"/>
  <c r="B22" i="8"/>
  <c r="D21" i="8"/>
  <c r="B21" i="8"/>
  <c r="D20" i="8"/>
  <c r="B20" i="8"/>
  <c r="B32" i="8" s="1"/>
  <c r="O7" i="8" s="1"/>
  <c r="C15" i="8"/>
  <c r="D15" i="8" s="1"/>
  <c r="B15" i="8"/>
  <c r="D14" i="8"/>
  <c r="D13" i="8"/>
  <c r="D12" i="8"/>
  <c r="D11" i="8"/>
  <c r="D10" i="8"/>
  <c r="D9" i="8"/>
  <c r="D8" i="8"/>
  <c r="D7" i="8"/>
  <c r="O6" i="8"/>
  <c r="D6" i="8"/>
  <c r="O5" i="8"/>
  <c r="D5" i="8"/>
  <c r="O4" i="8"/>
  <c r="D4" i="8"/>
  <c r="O3" i="8"/>
  <c r="D3" i="8"/>
  <c r="O2" i="8"/>
  <c r="C10" i="7"/>
  <c r="B10" i="7"/>
  <c r="E10" i="7" s="1"/>
  <c r="C9" i="7"/>
  <c r="B9" i="7"/>
  <c r="E9" i="7" s="1"/>
  <c r="C8" i="7"/>
  <c r="B8" i="7"/>
  <c r="E8" i="7" s="1"/>
  <c r="C7" i="7"/>
  <c r="B7" i="7"/>
  <c r="E7" i="7" s="1"/>
  <c r="C6" i="7"/>
  <c r="B6" i="7"/>
  <c r="E6" i="7" s="1"/>
  <c r="C5" i="7"/>
  <c r="B5" i="7"/>
  <c r="E5" i="7" s="1"/>
  <c r="C15" i="6"/>
  <c r="G14" i="6"/>
  <c r="C14" i="6"/>
  <c r="G9" i="6"/>
  <c r="G8" i="6" s="1"/>
  <c r="G7" i="6"/>
  <c r="G6" i="6"/>
  <c r="G5" i="6"/>
  <c r="G12" i="6" s="1"/>
  <c r="A46" i="5"/>
  <c r="D42" i="5"/>
  <c r="E42" i="5" s="1"/>
  <c r="C42" i="5"/>
  <c r="B42" i="5"/>
  <c r="B38" i="5" s="1"/>
  <c r="H11" i="5" s="1"/>
  <c r="J11" i="5" s="1"/>
  <c r="E41" i="5"/>
  <c r="C41" i="5"/>
  <c r="E40" i="5"/>
  <c r="C40" i="5"/>
  <c r="E39" i="5"/>
  <c r="C38" i="5"/>
  <c r="C36" i="5"/>
  <c r="E36" i="5" s="1"/>
  <c r="B36" i="5"/>
  <c r="C35" i="5"/>
  <c r="E35" i="5" s="1"/>
  <c r="B35" i="5"/>
  <c r="E34" i="5"/>
  <c r="C34" i="5"/>
  <c r="B34" i="5"/>
  <c r="D33" i="5"/>
  <c r="B33" i="5"/>
  <c r="D32" i="5"/>
  <c r="E32" i="5" s="1"/>
  <c r="C32" i="5"/>
  <c r="B32" i="5"/>
  <c r="E31" i="5"/>
  <c r="C31" i="5"/>
  <c r="B31" i="5"/>
  <c r="C29" i="5"/>
  <c r="E29" i="5" s="1"/>
  <c r="C28" i="5"/>
  <c r="E28" i="5" s="1"/>
  <c r="B28" i="5"/>
  <c r="C27" i="5"/>
  <c r="E27" i="5" s="1"/>
  <c r="B27" i="5"/>
  <c r="C26" i="5"/>
  <c r="E26" i="5" s="1"/>
  <c r="B26" i="5"/>
  <c r="C25" i="5"/>
  <c r="E25" i="5" s="1"/>
  <c r="B25" i="5"/>
  <c r="E24" i="5"/>
  <c r="C24" i="5"/>
  <c r="B24" i="5"/>
  <c r="E23" i="5"/>
  <c r="C23" i="5"/>
  <c r="B23" i="5"/>
  <c r="E22" i="5"/>
  <c r="C22" i="5"/>
  <c r="B22" i="5"/>
  <c r="E21" i="5"/>
  <c r="C21" i="5"/>
  <c r="B21" i="5"/>
  <c r="C20" i="5"/>
  <c r="E20" i="5" s="1"/>
  <c r="B20" i="5"/>
  <c r="C19" i="5"/>
  <c r="E19" i="5" s="1"/>
  <c r="E18" i="5"/>
  <c r="C18" i="5"/>
  <c r="B18" i="5"/>
  <c r="C17" i="5"/>
  <c r="E17" i="5" s="1"/>
  <c r="E16" i="5"/>
  <c r="D16" i="5"/>
  <c r="C16" i="5"/>
  <c r="B16" i="5"/>
  <c r="C15" i="5"/>
  <c r="E15" i="5" s="1"/>
  <c r="B15" i="5"/>
  <c r="C14" i="5"/>
  <c r="E14" i="5" s="1"/>
  <c r="B14" i="5"/>
  <c r="E13" i="5"/>
  <c r="C13" i="5"/>
  <c r="C12" i="5"/>
  <c r="C30" i="5" s="1"/>
  <c r="B12" i="5"/>
  <c r="I11" i="5"/>
  <c r="E11" i="5"/>
  <c r="D11" i="5"/>
  <c r="D30" i="5" s="1"/>
  <c r="C11" i="5"/>
  <c r="B11" i="5"/>
  <c r="B30" i="5" s="1"/>
  <c r="I2" i="13" s="1"/>
  <c r="J10" i="5"/>
  <c r="E10" i="5"/>
  <c r="C10" i="5"/>
  <c r="B10" i="5"/>
  <c r="J9" i="5"/>
  <c r="I9" i="5"/>
  <c r="H9" i="5"/>
  <c r="E9" i="5"/>
  <c r="C9" i="5"/>
  <c r="B9" i="5"/>
  <c r="I8" i="5"/>
  <c r="H8" i="5"/>
  <c r="J8" i="5" s="1"/>
  <c r="E8" i="5"/>
  <c r="I7" i="5"/>
  <c r="H7" i="5"/>
  <c r="J7" i="5" s="1"/>
  <c r="E7" i="5"/>
  <c r="D7" i="5"/>
  <c r="C7" i="5"/>
  <c r="B7" i="5"/>
  <c r="B5" i="5" s="1"/>
  <c r="I6" i="5"/>
  <c r="H6" i="5"/>
  <c r="J6" i="5" s="1"/>
  <c r="D6" i="5"/>
  <c r="E6" i="5" s="1"/>
  <c r="C6" i="5"/>
  <c r="B6" i="5"/>
  <c r="I5" i="5"/>
  <c r="C5" i="5"/>
  <c r="I4" i="5"/>
  <c r="I12" i="5" s="1"/>
  <c r="C40" i="4"/>
  <c r="E40" i="4" s="1"/>
  <c r="B40" i="4"/>
  <c r="E39" i="4"/>
  <c r="C39" i="4"/>
  <c r="D38" i="4"/>
  <c r="C38" i="4"/>
  <c r="E38" i="4" s="1"/>
  <c r="B38" i="4"/>
  <c r="C11" i="6" s="1"/>
  <c r="G37" i="4"/>
  <c r="E37" i="4"/>
  <c r="C37" i="4"/>
  <c r="G36" i="4"/>
  <c r="C36" i="4"/>
  <c r="C35" i="4" s="1"/>
  <c r="E35" i="4" s="1"/>
  <c r="D35" i="4"/>
  <c r="B35" i="4"/>
  <c r="E34" i="4"/>
  <c r="C34" i="4"/>
  <c r="B34" i="4"/>
  <c r="E33" i="4"/>
  <c r="C33" i="4"/>
  <c r="B33" i="4"/>
  <c r="B32" i="4" s="1"/>
  <c r="C48" i="9" s="1"/>
  <c r="D32" i="4"/>
  <c r="C32" i="4"/>
  <c r="E32" i="4" s="1"/>
  <c r="C31" i="4"/>
  <c r="C29" i="4" s="1"/>
  <c r="E29" i="4" s="1"/>
  <c r="B31" i="4"/>
  <c r="E30" i="4"/>
  <c r="C30" i="4"/>
  <c r="D29" i="4"/>
  <c r="B29" i="4"/>
  <c r="C50" i="8" s="1"/>
  <c r="E28" i="4"/>
  <c r="C28" i="4"/>
  <c r="C26" i="4" s="1"/>
  <c r="E26" i="4" s="1"/>
  <c r="E27" i="4"/>
  <c r="C27" i="4"/>
  <c r="D26" i="4"/>
  <c r="B26" i="4"/>
  <c r="C9" i="6" s="1"/>
  <c r="E25" i="4"/>
  <c r="C25" i="4"/>
  <c r="B25" i="4"/>
  <c r="C24" i="4"/>
  <c r="E24" i="4" s="1"/>
  <c r="B24" i="4"/>
  <c r="C23" i="4"/>
  <c r="E23" i="4" s="1"/>
  <c r="B23" i="4"/>
  <c r="B18" i="4" s="1"/>
  <c r="C8" i="6" s="1"/>
  <c r="C22" i="4"/>
  <c r="E22" i="4" s="1"/>
  <c r="B22" i="4"/>
  <c r="C21" i="4"/>
  <c r="E21" i="4" s="1"/>
  <c r="B21" i="4"/>
  <c r="C20" i="4"/>
  <c r="E20" i="4" s="1"/>
  <c r="B20" i="4"/>
  <c r="E19" i="4"/>
  <c r="C19" i="4"/>
  <c r="B19" i="4"/>
  <c r="D18" i="4"/>
  <c r="E16" i="4"/>
  <c r="C16" i="4"/>
  <c r="B16" i="4"/>
  <c r="E15" i="4"/>
  <c r="C15" i="4"/>
  <c r="B15" i="4"/>
  <c r="E14" i="4"/>
  <c r="C14" i="4"/>
  <c r="B14" i="4"/>
  <c r="E13" i="4"/>
  <c r="C13" i="4"/>
  <c r="B13" i="4"/>
  <c r="C12" i="4"/>
  <c r="E12" i="4" s="1"/>
  <c r="B12" i="4"/>
  <c r="B11" i="4" s="1"/>
  <c r="C7" i="6" s="1"/>
  <c r="D11" i="4"/>
  <c r="C11" i="4"/>
  <c r="E11" i="4" s="1"/>
  <c r="E10" i="4"/>
  <c r="C10" i="4"/>
  <c r="B10" i="4"/>
  <c r="E9" i="4"/>
  <c r="C9" i="4"/>
  <c r="B9" i="4"/>
  <c r="E8" i="4"/>
  <c r="C8" i="4"/>
  <c r="B8" i="4"/>
  <c r="C7" i="4"/>
  <c r="E7" i="4" s="1"/>
  <c r="B7" i="4"/>
  <c r="B6" i="4" s="1"/>
  <c r="D6" i="4"/>
  <c r="D4" i="4" s="1"/>
  <c r="D43" i="4" s="1"/>
  <c r="C6" i="4"/>
  <c r="E6" i="4" s="1"/>
  <c r="E5" i="4"/>
  <c r="C5" i="4"/>
  <c r="B5" i="4"/>
  <c r="C5" i="6" s="1"/>
  <c r="D37" i="3"/>
  <c r="O36" i="3"/>
  <c r="K36" i="3"/>
  <c r="D36" i="3"/>
  <c r="K35" i="3"/>
  <c r="D35" i="3"/>
  <c r="K34" i="3"/>
  <c r="K33" i="3"/>
  <c r="K32" i="3"/>
  <c r="D32" i="3"/>
  <c r="K38" i="3" s="1"/>
  <c r="P30" i="3"/>
  <c r="L26" i="3"/>
  <c r="K26" i="3"/>
  <c r="K28" i="3" s="1"/>
  <c r="M25" i="3"/>
  <c r="L24" i="3"/>
  <c r="M24" i="3" s="1"/>
  <c r="K24" i="3"/>
  <c r="M23" i="3"/>
  <c r="M22" i="3"/>
  <c r="L21" i="3"/>
  <c r="M21" i="3" s="1"/>
  <c r="K21" i="3"/>
  <c r="M20" i="3"/>
  <c r="M19" i="3"/>
  <c r="M18" i="3"/>
  <c r="E18" i="3"/>
  <c r="G18" i="3" s="1"/>
  <c r="C18" i="3"/>
  <c r="B18" i="3"/>
  <c r="M17" i="3"/>
  <c r="G17" i="3"/>
  <c r="F17" i="3"/>
  <c r="E17" i="3"/>
  <c r="M16" i="3"/>
  <c r="E16" i="3"/>
  <c r="G16" i="3" s="1"/>
  <c r="D16" i="3"/>
  <c r="D18" i="3" s="1"/>
  <c r="F18" i="3" s="1"/>
  <c r="G15" i="3"/>
  <c r="F15" i="3"/>
  <c r="G14" i="3"/>
  <c r="F14" i="3"/>
  <c r="G13" i="3"/>
  <c r="F13" i="3"/>
  <c r="L12" i="3"/>
  <c r="G12" i="3"/>
  <c r="F12" i="3"/>
  <c r="L11" i="3"/>
  <c r="K11" i="3"/>
  <c r="M11" i="3" s="1"/>
  <c r="G11" i="3"/>
  <c r="F11" i="3"/>
  <c r="L10" i="3"/>
  <c r="K10" i="3"/>
  <c r="M10" i="3" s="1"/>
  <c r="G10" i="3"/>
  <c r="F10" i="3"/>
  <c r="M9" i="3"/>
  <c r="L9" i="3"/>
  <c r="K9" i="3"/>
  <c r="G9" i="3"/>
  <c r="F9" i="3"/>
  <c r="M8" i="3"/>
  <c r="L8" i="3"/>
  <c r="K8" i="3"/>
  <c r="G8" i="3"/>
  <c r="F8" i="3"/>
  <c r="M7" i="3"/>
  <c r="L7" i="3"/>
  <c r="K7" i="3"/>
  <c r="G7" i="3"/>
  <c r="F7" i="3"/>
  <c r="L6" i="3"/>
  <c r="M6" i="3" s="1"/>
  <c r="K6" i="3"/>
  <c r="G6" i="3"/>
  <c r="F6" i="3"/>
  <c r="L5" i="3"/>
  <c r="M5" i="3" s="1"/>
  <c r="K5" i="3"/>
  <c r="K12" i="3" s="1"/>
  <c r="F10" i="2"/>
  <c r="E10" i="2"/>
  <c r="E33" i="1"/>
  <c r="F28" i="1"/>
  <c r="F33" i="1" s="1"/>
  <c r="F21" i="1"/>
  <c r="B4" i="5" l="1"/>
  <c r="B45" i="5" s="1"/>
  <c r="H4" i="5"/>
  <c r="J2" i="13"/>
  <c r="J4" i="13" s="1"/>
  <c r="E30" i="5"/>
  <c r="C11" i="7"/>
  <c r="C4" i="7" s="1"/>
  <c r="E3" i="13"/>
  <c r="J3" i="13" s="1"/>
  <c r="B4" i="4"/>
  <c r="B43" i="4" s="1"/>
  <c r="C6" i="6"/>
  <c r="D3" i="13"/>
  <c r="I3" i="13" s="1"/>
  <c r="I4" i="13"/>
  <c r="D50" i="8"/>
  <c r="C52" i="8"/>
  <c r="D48" i="9"/>
  <c r="C50" i="9"/>
  <c r="D50" i="9" s="1"/>
  <c r="C3" i="13"/>
  <c r="O12" i="3"/>
  <c r="M12" i="3"/>
  <c r="L22" i="12"/>
  <c r="O18" i="3"/>
  <c r="L28" i="3"/>
  <c r="M28" i="3" s="1"/>
  <c r="D5" i="5"/>
  <c r="D38" i="5"/>
  <c r="E38" i="5" s="1"/>
  <c r="B50" i="9"/>
  <c r="G14" i="10"/>
  <c r="B52" i="8"/>
  <c r="F16" i="3"/>
  <c r="E31" i="4"/>
  <c r="H5" i="5"/>
  <c r="J5" i="5" s="1"/>
  <c r="E12" i="5"/>
  <c r="C33" i="5"/>
  <c r="E33" i="5" s="1"/>
  <c r="C10" i="6"/>
  <c r="C12" i="6" s="1"/>
  <c r="D5" i="7"/>
  <c r="D7" i="7"/>
  <c r="D9" i="7"/>
  <c r="C18" i="4"/>
  <c r="E36" i="4"/>
  <c r="D27" i="9"/>
  <c r="F17" i="10"/>
  <c r="D28" i="9"/>
  <c r="C32" i="9"/>
  <c r="D32" i="9" s="1"/>
  <c r="M26" i="3"/>
  <c r="D6" i="7"/>
  <c r="D8" i="7"/>
  <c r="D10" i="7"/>
  <c r="C32" i="8"/>
  <c r="C17" i="6" l="1"/>
  <c r="G15" i="6"/>
  <c r="G17" i="6" s="1"/>
  <c r="D32" i="8"/>
  <c r="O8" i="8"/>
  <c r="E5" i="5"/>
  <c r="D4" i="5"/>
  <c r="D45" i="5" s="1"/>
  <c r="G35" i="4"/>
  <c r="G38" i="4" s="1"/>
  <c r="H38" i="4" s="1"/>
  <c r="B11" i="7"/>
  <c r="C4" i="4"/>
  <c r="E18" i="4"/>
  <c r="G18" i="4"/>
  <c r="D52" i="8"/>
  <c r="O9" i="8"/>
  <c r="C4" i="5"/>
  <c r="J4" i="5"/>
  <c r="J12" i="5" s="1"/>
  <c r="H12" i="5"/>
  <c r="E11" i="7" l="1"/>
  <c r="D11" i="7"/>
  <c r="B4" i="7"/>
  <c r="C45" i="5"/>
  <c r="E45" i="5" s="1"/>
  <c r="E4" i="5"/>
  <c r="E4" i="4"/>
  <c r="C43" i="4"/>
  <c r="E43" i="4" s="1"/>
  <c r="E4" i="7" l="1"/>
  <c r="D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88" authorId="0" shapeId="0" xr:uid="{00000000-0006-0000-0B00-000001000000}">
      <text>
        <r>
          <rPr>
            <b/>
            <sz val="9"/>
            <color rgb="FF000000"/>
            <rFont val="Tahoma"/>
            <family val="2"/>
            <charset val="1"/>
          </rPr>
          <t xml:space="preserve">Despesa a partir de out/2018 a set/2019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29" authorId="0" shapeId="0" xr:uid="{00000000-0006-0000-0C00-000001000000}">
      <text>
        <r>
          <rPr>
            <sz val="10"/>
            <rFont val="Arial"/>
            <family val="2"/>
            <charset val="1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Aquisição de escudos transparentes na sede e anexo, e máscaras com a logomarca do Crea-RN</t>
        </r>
      </text>
    </comment>
    <comment ref="D54" authorId="0" shapeId="0" xr:uid="{00000000-0006-0000-0C00-000002000000}">
      <text>
        <r>
          <rPr>
            <sz val="10"/>
            <rFont val="Arial"/>
            <family val="2"/>
            <charset val="1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RAF e Imprensa Nacional</t>
        </r>
      </text>
    </comment>
  </commentList>
</comments>
</file>

<file path=xl/sharedStrings.xml><?xml version="1.0" encoding="utf-8"?>
<sst xmlns="http://schemas.openxmlformats.org/spreadsheetml/2006/main" count="834" uniqueCount="536">
  <si>
    <t>VIAGENS DE SERVIDORES NO MÊS 04/2022</t>
  </si>
  <si>
    <t xml:space="preserve">FAVORECIDO </t>
  </si>
  <si>
    <t xml:space="preserve">FUNÇÃO </t>
  </si>
  <si>
    <t xml:space="preserve">PERÍODO </t>
  </si>
  <si>
    <t>CUSTOS ENVOLVIDOS</t>
  </si>
  <si>
    <t xml:space="preserve">DESTINO </t>
  </si>
  <si>
    <t xml:space="preserve">OBJETIVO </t>
  </si>
  <si>
    <t>QUANT.</t>
  </si>
  <si>
    <t xml:space="preserve">DIÁRIAS </t>
  </si>
  <si>
    <t>DESLOCAMENTO</t>
  </si>
  <si>
    <t>Anelly Virgínia de Moraes M. A. Ferreira</t>
  </si>
  <si>
    <t>GER</t>
  </si>
  <si>
    <t>10 a 13/4/2022</t>
  </si>
  <si>
    <t>Pau dos Ferros – RN</t>
  </si>
  <si>
    <t>Acompanhar a equipe da fiscalização</t>
  </si>
  <si>
    <t>Emerson Fonseca de Souza</t>
  </si>
  <si>
    <t>PFI</t>
  </si>
  <si>
    <t>04 a 08/4/2022</t>
  </si>
  <si>
    <t>Diversos</t>
  </si>
  <si>
    <t>Viagem de fiscalização</t>
  </si>
  <si>
    <t>11 a 14/4/2022</t>
  </si>
  <si>
    <t>Eva Falcão Soares</t>
  </si>
  <si>
    <t>12 a 13/4/2022</t>
  </si>
  <si>
    <t>01 a 03/05/2022</t>
  </si>
  <si>
    <t>Gérson Ricardo de Oliveira</t>
  </si>
  <si>
    <t>Gislene Cabral Gouveia Cunha</t>
  </si>
  <si>
    <t>Gleson Gurgel Gomes</t>
  </si>
  <si>
    <t>20 a 22/4/2022</t>
  </si>
  <si>
    <t>Heulyson Arruda Almino</t>
  </si>
  <si>
    <t>Humberto Lamarque Lopes</t>
  </si>
  <si>
    <t>Joseane Palhares De Aquino</t>
  </si>
  <si>
    <t>Suporte</t>
  </si>
  <si>
    <t>Manutenção das redes nas Inspetorias</t>
  </si>
  <si>
    <t>Juliano Gonçalves Barbosa</t>
  </si>
  <si>
    <r>
      <rPr>
        <sz val="8"/>
        <color rgb="FF000000"/>
        <rFont val="Arial"/>
        <family val="2"/>
        <charset val="1"/>
      </rPr>
      <t xml:space="preserve">Lá-Thutica Dernótica Almeida </t>
    </r>
    <r>
      <rPr>
        <sz val="8"/>
        <color rgb="FF000000"/>
        <rFont val="Calibri"/>
        <family val="2"/>
        <charset val="1"/>
      </rPr>
      <t>de Morais</t>
    </r>
  </si>
  <si>
    <t>Luiz Carlos Fernandes Madruga</t>
  </si>
  <si>
    <t>OUV</t>
  </si>
  <si>
    <t>1,5 + AT</t>
  </si>
  <si>
    <t xml:space="preserve"> Brasília – DF</t>
  </si>
  <si>
    <t>Participação de reuniões (Procurador Jurídico)</t>
  </si>
  <si>
    <r>
      <rPr>
        <sz val="8"/>
        <color rgb="FF000000"/>
        <rFont val="Arial"/>
        <family val="2"/>
        <charset val="1"/>
      </rPr>
      <t xml:space="preserve">Manoel Emídio de Medeiros </t>
    </r>
    <r>
      <rPr>
        <sz val="8"/>
        <color rgb="FF000000"/>
        <rFont val="Calibri"/>
        <family val="2"/>
        <charset val="1"/>
      </rPr>
      <t>Júnior</t>
    </r>
  </si>
  <si>
    <t>Assessor</t>
  </si>
  <si>
    <t>06 a 08/4/2022</t>
  </si>
  <si>
    <t>Visita para manutenção predial</t>
  </si>
  <si>
    <t>Marcos Antonio Andrade da Silva</t>
  </si>
  <si>
    <t>Marcos Lucas de Souza Germano</t>
  </si>
  <si>
    <t>Murilo Mariz Faria Neto</t>
  </si>
  <si>
    <t>PROC</t>
  </si>
  <si>
    <t>Participação de reuniões (Encarregado de dados)</t>
  </si>
  <si>
    <t>Paulo Cesar de Mendonça</t>
  </si>
  <si>
    <t>Renan Freire de Oliveira</t>
  </si>
  <si>
    <t>04 a 05/4/2022</t>
  </si>
  <si>
    <t>Natal – RN</t>
  </si>
  <si>
    <t>Participação de reunião ordinária</t>
  </si>
  <si>
    <t>Valor Total</t>
  </si>
  <si>
    <t>TABELA DE DIÁRIAS A PARTIR DE 12.04.2022 (Portaria n° 051/2022)</t>
  </si>
  <si>
    <t>Os Beneficiários</t>
  </si>
  <si>
    <t>Interestadual</t>
  </si>
  <si>
    <t>Intermunicipal</t>
  </si>
  <si>
    <t>Presidente, Diretores e Conselheiros.</t>
  </si>
  <si>
    <t>Superintendentes e Chefe de Gabinete.</t>
  </si>
  <si>
    <t>Cargos de Livre Provimento, Profissionais Especializados  –  PES, Profissionais 
do Sistema – PSI, Convidados e Inspetores Regionais.</t>
  </si>
  <si>
    <t>Profissionais de Fiscalização demais servidores.</t>
  </si>
  <si>
    <t>AUXÍLIO TRANSLADO – AT R$ 95,00</t>
  </si>
  <si>
    <t>Reembolso p/quilometro rodado: R$ 1,12</t>
  </si>
  <si>
    <t>Allyson Rocha Alves</t>
  </si>
  <si>
    <t>Conselheiro</t>
  </si>
  <si>
    <t>18 a 19/4/2022</t>
  </si>
  <si>
    <t>25 a 26/4/2022</t>
  </si>
  <si>
    <t xml:space="preserve">Erinaldo de Lima Costa </t>
  </si>
  <si>
    <t>02 a 03/05/2022</t>
  </si>
  <si>
    <t>Francisco Joseraldo Medeiros do Vale</t>
  </si>
  <si>
    <t xml:space="preserve">COMPARATIVO DE ART'S NO PERÍODO DE 01.01 até 31.12.2019 </t>
  </si>
  <si>
    <t>Receitas x Despesas por região</t>
  </si>
  <si>
    <t>COMPARATIVO EM PORCENTAGEM</t>
  </si>
  <si>
    <t>Período de 01.01 a 16.12.2019</t>
  </si>
  <si>
    <t>MÊS</t>
  </si>
  <si>
    <t>QUANTIDADE</t>
  </si>
  <si>
    <t>VALOR</t>
  </si>
  <si>
    <t>% DE QUANTIDADE</t>
  </si>
  <si>
    <t>% DE VALORES</t>
  </si>
  <si>
    <t>Receita</t>
  </si>
  <si>
    <t>Despesa Paga</t>
  </si>
  <si>
    <t>Desempenho</t>
  </si>
  <si>
    <t>SEDE</t>
  </si>
  <si>
    <t>JAN</t>
  </si>
  <si>
    <t>IRM</t>
  </si>
  <si>
    <t>FEV</t>
  </si>
  <si>
    <t>IRS</t>
  </si>
  <si>
    <t>MAR</t>
  </si>
  <si>
    <t>IPF</t>
  </si>
  <si>
    <t>ABR</t>
  </si>
  <si>
    <t>ICN</t>
  </si>
  <si>
    <t>MAIO</t>
  </si>
  <si>
    <t>IRA</t>
  </si>
  <si>
    <t>JUN</t>
  </si>
  <si>
    <t>IRMA</t>
  </si>
  <si>
    <t>JUL</t>
  </si>
  <si>
    <t>Total</t>
  </si>
  <si>
    <t>AGO</t>
  </si>
  <si>
    <t>SET</t>
  </si>
  <si>
    <t>COMPARATIVO DE ANUIDADES</t>
  </si>
  <si>
    <t>OUT</t>
  </si>
  <si>
    <t>Variação(%)</t>
  </si>
  <si>
    <t>NOV</t>
  </si>
  <si>
    <t>DEZ</t>
  </si>
  <si>
    <t>TOTAL</t>
  </si>
  <si>
    <t>Totais</t>
  </si>
  <si>
    <t>Saldos financeiros em 16.12.2019</t>
  </si>
  <si>
    <t>Conta Movimento 1370-6</t>
  </si>
  <si>
    <t>Conta aplicação 1370-6</t>
  </si>
  <si>
    <t>Conta Arrecadação 2375-2</t>
  </si>
  <si>
    <t>Conta PRODESU IIA 2018- 95331-5 - INVESTIMENTO</t>
  </si>
  <si>
    <t>Conta BB 74123-X</t>
  </si>
  <si>
    <t>Conta PRODESU IIIA - 4489-0 - PRODACOM 2018</t>
  </si>
  <si>
    <t>PRODESU IIA 2018 - 95332-3 - CUSTEIO</t>
  </si>
  <si>
    <t xml:space="preserve">Conta PRODESU IIB - 4494-6 - PRODAFIN 2018 </t>
  </si>
  <si>
    <t>10º CEP/RN - 4522-5</t>
  </si>
  <si>
    <t>MÚTUA/76ª SOEA - 4521-7</t>
  </si>
  <si>
    <t>PRODAFISC 2019 - 4537-3 - CUSTEIO</t>
  </si>
  <si>
    <t>COMPARATIVO DO DESEMPENHO ORÇAMENTÁRIO DAS RECEITAS - ATÉ NOVEMBRO</t>
  </si>
  <si>
    <t>RECEITAS CORRENTES (A)</t>
  </si>
  <si>
    <t>Realizado no mês</t>
  </si>
  <si>
    <t>Realizado no período ( C )</t>
  </si>
  <si>
    <t>Orçado em 2020 (D)</t>
  </si>
  <si>
    <t>C/D (%)</t>
  </si>
  <si>
    <t>ART</t>
  </si>
  <si>
    <t>ANUIDADES</t>
  </si>
  <si>
    <t xml:space="preserve"> ANUID. PF DO EXERCÍCIO</t>
  </si>
  <si>
    <t xml:space="preserve"> ANUID. PF DO EXERC. ANTERIOR</t>
  </si>
  <si>
    <t xml:space="preserve"> ANUID. PJ DO EXERCÍCIO</t>
  </si>
  <si>
    <t xml:space="preserve"> ANUID. PJ DO EXERC. ANTERIOR</t>
  </si>
  <si>
    <t>SERVIÇOS</t>
  </si>
  <si>
    <t xml:space="preserve"> INSCRIÇÕES DE PESSOAS FÍSICAS</t>
  </si>
  <si>
    <t xml:space="preserve"> INSCRIÇÕES DE PESSOAS JURÍDICAS</t>
  </si>
  <si>
    <t xml:space="preserve"> EXPEDIÇÃO DE CARTEIRAS</t>
  </si>
  <si>
    <t xml:space="preserve"> CERTIDÕES DE PESSOAS FÍSICAS E JURÍDICAS</t>
  </si>
  <si>
    <t xml:space="preserve"> VISTO E REGISTRO DE PESSOAS JURÍDICAS</t>
  </si>
  <si>
    <t xml:space="preserve"> RECEITAS DIVERSAS DE SERVIÇOS</t>
  </si>
  <si>
    <t>FINANCEIRAS</t>
  </si>
  <si>
    <t xml:space="preserve"> JUROS DE MORA SOBRE ANUIDADES</t>
  </si>
  <si>
    <t xml:space="preserve"> JUROS DE MORA SOBRE MULTAS</t>
  </si>
  <si>
    <t xml:space="preserve"> ATUALIZAÇÃO MONETÁRIA SOBRE ANUIDADES</t>
  </si>
  <si>
    <t xml:space="preserve"> ATUALIZAÇÃO MONETÁRIA SOBRE MULTAS</t>
  </si>
  <si>
    <t xml:space="preserve"> MULTAS SOBRE ANUIDADES</t>
  </si>
  <si>
    <t xml:space="preserve"> FUNDOS DE APLICAÇÃO LASTREADOS EM TTN</t>
  </si>
  <si>
    <t xml:space="preserve"> POUPANÇA</t>
  </si>
  <si>
    <t>TRANSFERÊNCIAS CORRENTES</t>
  </si>
  <si>
    <t xml:space="preserve"> CONFEA</t>
  </si>
  <si>
    <t xml:space="preserve"> MÚTUA</t>
  </si>
  <si>
    <t>DÍVIDA ATIVA</t>
  </si>
  <si>
    <t xml:space="preserve"> TRIBUTÁRIA</t>
  </si>
  <si>
    <t xml:space="preserve"> NÃO TRIBUTÁRIA</t>
  </si>
  <si>
    <t>MULTAS DE INFRAÇÕES</t>
  </si>
  <si>
    <t xml:space="preserve"> PESSOAS FÍSICAS</t>
  </si>
  <si>
    <t xml:space="preserve"> PESSOAS JURÍDICAS</t>
  </si>
  <si>
    <t>INDENIZAÇÕES E RESTITUIÇÕES</t>
  </si>
  <si>
    <t xml:space="preserve"> INDENIZAÇÕES</t>
  </si>
  <si>
    <t xml:space="preserve"> RESTITUIÇÕES</t>
  </si>
  <si>
    <t>RECEITAS DE CAPITAL (B)</t>
  </si>
  <si>
    <t>ALIENAÇÕES</t>
  </si>
  <si>
    <t>TRANSF. DE CAPITAL</t>
  </si>
  <si>
    <t>OUTRAS RECEITAS</t>
  </si>
  <si>
    <t xml:space="preserve">SUPERÁVIT </t>
  </si>
  <si>
    <t>RECEITA TOTAL ( A + B)</t>
  </si>
  <si>
    <t>FONTE: BR CONSELHOS/CONTABILIDADE</t>
  </si>
  <si>
    <t>COMPARATIVO DO DESEMPENHO ORÇAMENTÁRIO DESPESAS LIQUIDADAS - ATÉ NOVEMBRO</t>
  </si>
  <si>
    <t>TIPO DE DESPESA</t>
  </si>
  <si>
    <t>QUADRO DEMONSTRATIVO - DESPESAS LIQUIDADAS X DESPESAS PAGAS</t>
  </si>
  <si>
    <t>DESPESAS CORRENTES</t>
  </si>
  <si>
    <t>Executado no mês</t>
  </si>
  <si>
    <t>Executado no período (A)</t>
  </si>
  <si>
    <t>Orçado em 2020 (B)</t>
  </si>
  <si>
    <t>A/B(%)</t>
  </si>
  <si>
    <t>PERÍODO: NOVEMBRO/2020</t>
  </si>
  <si>
    <t>VALOR LIQUIDADO (A)</t>
  </si>
  <si>
    <t>VALOR PAGO (B)</t>
  </si>
  <si>
    <t>DIFERENÇA (A-B)</t>
  </si>
  <si>
    <t xml:space="preserve"> PESSOAL E ENCARGOS</t>
  </si>
  <si>
    <t xml:space="preserve"> OUTRAS DESPESAS CORRENTES</t>
  </si>
  <si>
    <t xml:space="preserve"> REMUNERAÇÃO DE PESSOAL</t>
  </si>
  <si>
    <t xml:space="preserve"> TRIBUTÁRIAS E CONTRIBUTIVAS</t>
  </si>
  <si>
    <t xml:space="preserve"> INSS PATRONAL</t>
  </si>
  <si>
    <t xml:space="preserve"> DEMAIS DESPESAS CORRENTES</t>
  </si>
  <si>
    <t xml:space="preserve"> INSS TERCEIROS</t>
  </si>
  <si>
    <t xml:space="preserve"> SERVIÇOS BANCÁRIOS</t>
  </si>
  <si>
    <t xml:space="preserve"> FGTS</t>
  </si>
  <si>
    <t xml:space="preserve"> TRANSFERÊNCIAS CORRENTES</t>
  </si>
  <si>
    <t xml:space="preserve"> PIS/PASEP SOBRE FOLHA DE PAGAMENTO</t>
  </si>
  <si>
    <t xml:space="preserve"> RESERVAS DE CONTIGÊNCIA</t>
  </si>
  <si>
    <t>DESPESAS DE CAPITAL/INVESTIMENTOS</t>
  </si>
  <si>
    <t xml:space="preserve"> PROGRAMA DE ALIMENTAÇÃO DO TRABALHADOR</t>
  </si>
  <si>
    <t>TOTAIS</t>
  </si>
  <si>
    <t xml:space="preserve"> PLANO DE SAÚDE</t>
  </si>
  <si>
    <t>Nota explicativa: o quadro acima demonstra as despesas liquidadas (reconhecidas) no mês e o valor efetivamente pago.</t>
  </si>
  <si>
    <t xml:space="preserve"> COMBUSTÍVEIS E LUBRIFICANTES</t>
  </si>
  <si>
    <t xml:space="preserve"> DIÁRIAS DE FUNCIONÁRIOS</t>
  </si>
  <si>
    <t xml:space="preserve"> DIÁRIAS DE CONSELHEIROS</t>
  </si>
  <si>
    <t xml:space="preserve"> PASSAGENS DE CONSELHEIROS</t>
  </si>
  <si>
    <t xml:space="preserve"> SERVIÇOS DE INFORMÁTICA</t>
  </si>
  <si>
    <t xml:space="preserve"> SERV. DE LIMPEZA, CONSERVAÇÃO E JARDINAGEM</t>
  </si>
  <si>
    <t xml:space="preserve"> SERV. DE SEGURANÇA PREDIAL E PREVENTIVA</t>
  </si>
  <si>
    <t xml:space="preserve"> REMUNERAÇÃO DE ESTAGIÁRIOS</t>
  </si>
  <si>
    <t xml:space="preserve"> SERVIÇOS DE APOIO ADMINISTRATIVO E OPERACIONAL</t>
  </si>
  <si>
    <t xml:space="preserve"> MANUTENÇÃO E CONSERVAÇÃO DE BENS MÓVEIS</t>
  </si>
  <si>
    <t xml:space="preserve"> MANUTENÇÃO E CONSERVAÇÃO DE BENS IMÓVEIS</t>
  </si>
  <si>
    <t xml:space="preserve"> SERVIÇOS DE ENERGIA ELÉTRICA</t>
  </si>
  <si>
    <t xml:space="preserve"> POST. DE CORRESPONDÊNCIA INSTITUCIONAL</t>
  </si>
  <si>
    <t xml:space="preserve"> SERVIÇOS DE TELECOMUNICAÇÕES</t>
  </si>
  <si>
    <t xml:space="preserve"> SERVIÇOS DE INTERNET</t>
  </si>
  <si>
    <t xml:space="preserve"> CÓPIAS E MICROFILMAGEN DE DOCUMENTOS</t>
  </si>
  <si>
    <t xml:space="preserve"> DEMAIS DESPESAS</t>
  </si>
  <si>
    <t xml:space="preserve"> TAXA SOBRE SERVIÇOS BANCÁRIOS</t>
  </si>
  <si>
    <t xml:space="preserve"> DESPESAS COM COBRANÇA</t>
  </si>
  <si>
    <t xml:space="preserve"> OBRAS, INSTALAÇÕES E REFORMAS</t>
  </si>
  <si>
    <t xml:space="preserve"> REFORMAS</t>
  </si>
  <si>
    <t xml:space="preserve"> PROJETOS</t>
  </si>
  <si>
    <t xml:space="preserve"> EQUIPAMENTOS E MATERIAIS PERMANENTES</t>
  </si>
  <si>
    <t xml:space="preserve"> AQUISIÇÃO DE IMÓVEIS</t>
  </si>
  <si>
    <t xml:space="preserve"> INVERSÕES FINANCEIRAS</t>
  </si>
  <si>
    <t>DESPESA TOTAL</t>
  </si>
  <si>
    <t>MOVIMENTAÇÃO FINANCEIRA DO CREA-RN</t>
  </si>
  <si>
    <t>BALANÇO FINANCEIRO DE NOVEMBRO 2020</t>
  </si>
  <si>
    <t>RECEITA ORÇAMENTÁRIA</t>
  </si>
  <si>
    <t>DESPESA ORÇAMENTÁRIA</t>
  </si>
  <si>
    <t xml:space="preserve">      RECEITA TRIBUTÁRIA(ART)</t>
  </si>
  <si>
    <t xml:space="preserve">       DESPESA CORRENTE </t>
  </si>
  <si>
    <t xml:space="preserve">      RECEITAS DE CONTRIBUIÇÕES</t>
  </si>
  <si>
    <t xml:space="preserve">             PESSOAL E ENC. SOCIAIS E PATRONAIS</t>
  </si>
  <si>
    <t xml:space="preserve">      RECEITAS DE SERVIÇOS</t>
  </si>
  <si>
    <t xml:space="preserve">             OUTRAS DESPESAS CORRENTES </t>
  </si>
  <si>
    <t xml:space="preserve">      RECEITAS FINANCEIRAS</t>
  </si>
  <si>
    <t xml:space="preserve">       DESPESAS DE CAPITAL</t>
  </si>
  <si>
    <t xml:space="preserve">      TRANSFERÊNCIAS CORRENTES</t>
  </si>
  <si>
    <t xml:space="preserve">             INVESTIMENTOS</t>
  </si>
  <si>
    <t xml:space="preserve">      OUTRAS RECEITAS CORRENTES</t>
  </si>
  <si>
    <t xml:space="preserve">      RECEITAS DE CAPITAL</t>
  </si>
  <si>
    <t>TOTAL DAS RECEITAS</t>
  </si>
  <si>
    <t>TOTAL DA DESPESAS PAGAS</t>
  </si>
  <si>
    <t>RECEITA EXTRA-ORÇAMENTÁRIA</t>
  </si>
  <si>
    <t xml:space="preserve"> DESPESA EXTRA-ORÇAMENTÁRIA</t>
  </si>
  <si>
    <t>SALDO DO EXERCÍCIO ANTERIOR</t>
  </si>
  <si>
    <t>SALDO P/O EXERCÍCIO SEGUINTE</t>
  </si>
  <si>
    <t>Receita x Despesa - NOVEMBRO 2020</t>
  </si>
  <si>
    <t>LOCAL</t>
  </si>
  <si>
    <t>ID - ÍNDICE DE DESEMPENHO</t>
  </si>
  <si>
    <t>%</t>
  </si>
  <si>
    <t>RECEITA</t>
  </si>
  <si>
    <t>DESPESA PAGA</t>
  </si>
  <si>
    <t>Natal/Sede</t>
  </si>
  <si>
    <t>IRC</t>
  </si>
  <si>
    <t>Período ano/mês</t>
  </si>
  <si>
    <t>Variação %</t>
  </si>
  <si>
    <t>Período</t>
  </si>
  <si>
    <t>Valor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</si>
  <si>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</si>
  <si>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</si>
  <si>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</si>
  <si>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</si>
  <si>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</si>
  <si>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</si>
  <si>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</si>
  <si>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</si>
  <si>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</si>
  <si>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</si>
  <si>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</si>
  <si>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</si>
  <si>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Meta orçamentária para 2018:</t>
  </si>
  <si>
    <t>Meta orçamentária para 2019:</t>
  </si>
  <si>
    <t xml:space="preserve">Meta orçamentária para 2020: </t>
  </si>
  <si>
    <t>COMPARATIVO DE ART'S NO PERÍODO DE 01.01 até 31.12.2020</t>
  </si>
  <si>
    <t>média anual</t>
  </si>
  <si>
    <t>média 1º semestre</t>
  </si>
  <si>
    <t>média 2º semestre</t>
  </si>
  <si>
    <t>LEVANTAMENTO DA RECEITA CORRENTE LÍQUIDA COMPROMETIDA COM DESPESA DE PESSOAL</t>
  </si>
  <si>
    <t>Receita Corrente Líquida (A)</t>
  </si>
  <si>
    <t>Despesas com Pessoal (B)</t>
  </si>
  <si>
    <t>Encargos Sociais ( C )</t>
  </si>
  <si>
    <t>Indenizações Trabalhistas (D)</t>
  </si>
  <si>
    <t>Sentenças Judiciais Trabalhistas (E)</t>
  </si>
  <si>
    <t>% = ((B+C) - (D+E))/A*100</t>
  </si>
  <si>
    <t>fev/2011 a jan/2012</t>
  </si>
  <si>
    <t>LIMITE PRUDENCIAL - CREA/RN de DEZ/2019 a NOV/2020</t>
  </si>
  <si>
    <t>mar/2011 a fev/2012</t>
  </si>
  <si>
    <t>abr/2011 a mar/2012</t>
  </si>
  <si>
    <t>Receita Total (RT)</t>
  </si>
  <si>
    <t>maio/2011 a abr/2012</t>
  </si>
  <si>
    <t>jun/2011 a maio/2012</t>
  </si>
  <si>
    <t>jul/2011 a jun/2012</t>
  </si>
  <si>
    <t>Receita de Capital (RC)</t>
  </si>
  <si>
    <t>ago/2011 a jul/2012</t>
  </si>
  <si>
    <t>set/2011 a ago/2012</t>
  </si>
  <si>
    <t>Receita Corrente Líquida (RCL) = RT - RC</t>
  </si>
  <si>
    <t>out/2011 a set/2012</t>
  </si>
  <si>
    <t>nov/2011 a out/2012</t>
  </si>
  <si>
    <t>Despesa com Pessoal (P)</t>
  </si>
  <si>
    <t>dez/2011 a nov/2012</t>
  </si>
  <si>
    <t>jan/2012 a dez/2012</t>
  </si>
  <si>
    <t>Indenizações trabalhistas (IT)</t>
  </si>
  <si>
    <t>fev/2012 a jan/2013</t>
  </si>
  <si>
    <t>mar/2012 a fev/2013</t>
  </si>
  <si>
    <t>Sentenças Judiciais Trabalhistas (SJT)</t>
  </si>
  <si>
    <t>abr/2012 a mar/2013</t>
  </si>
  <si>
    <t>maio/2012 a abr/2013</t>
  </si>
  <si>
    <t>Encargos Sociais (ES)</t>
  </si>
  <si>
    <t>jun/2012 a maio/2013</t>
  </si>
  <si>
    <t>jul/2012 a jun/2013</t>
  </si>
  <si>
    <t>Despesa Total com Pessoal (DTP) = P - IT - SJT + ES</t>
  </si>
  <si>
    <t>ago/2012 a jul/2013</t>
  </si>
  <si>
    <t>set/2012 a ago/2013</t>
  </si>
  <si>
    <t>Percentual comprometido = DTP/RCL (%)</t>
  </si>
  <si>
    <t>out/2012 a set/2013</t>
  </si>
  <si>
    <t>nov/2012 a out/2013</t>
  </si>
  <si>
    <t>dez/2012 a nov/2013</t>
  </si>
  <si>
    <t>jan/2013 a dez/2013</t>
  </si>
  <si>
    <t>fev/2013 a jan/2014</t>
  </si>
  <si>
    <t>mar/2013 a fev/2014</t>
  </si>
  <si>
    <t>abr/2013 a mar/2014</t>
  </si>
  <si>
    <t>maio/2013 a abr/2014</t>
  </si>
  <si>
    <t>jun/2013 a maio/2014</t>
  </si>
  <si>
    <t>jul/2013 a jun/2014</t>
  </si>
  <si>
    <t>ago/2013 a jul/2014</t>
  </si>
  <si>
    <t>set/2013 a ago/2014</t>
  </si>
  <si>
    <t>out/2013 a set/2014</t>
  </si>
  <si>
    <t>nov/2013 a out/2014</t>
  </si>
  <si>
    <t>dez/2013 a nov/2014</t>
  </si>
  <si>
    <t>jan/2014 a dez/2014</t>
  </si>
  <si>
    <t>fev/2014 a jan/2015</t>
  </si>
  <si>
    <t>mar/2014 a fev/2015</t>
  </si>
  <si>
    <t>abr/2014 a mar/2015</t>
  </si>
  <si>
    <t>maio/2014 a abr/2015</t>
  </si>
  <si>
    <t>jun/2014 a maio/2015</t>
  </si>
  <si>
    <t>jul/2014 a jun/2015</t>
  </si>
  <si>
    <t>ago/2014 a jul/2015</t>
  </si>
  <si>
    <t>set/2014 a ago/2015</t>
  </si>
  <si>
    <t>out/2014 a set/2015</t>
  </si>
  <si>
    <t>nov/2014 a out/2015</t>
  </si>
  <si>
    <t>dez/2014 a nov/2015</t>
  </si>
  <si>
    <t>jan/2015 a dez/2015</t>
  </si>
  <si>
    <t>fev/2015 a jan/2016</t>
  </si>
  <si>
    <t>mar/2015 a fev/2016</t>
  </si>
  <si>
    <t>abr/2015 a mar/2016</t>
  </si>
  <si>
    <t>maio/2015 a abr/2016</t>
  </si>
  <si>
    <t>jun/2015 a maio/2016</t>
  </si>
  <si>
    <t>jul/2015 a jun/2016</t>
  </si>
  <si>
    <t>ago/2015 a jul/2016</t>
  </si>
  <si>
    <t>set/2015 a ago/2016</t>
  </si>
  <si>
    <t>out/2015 a set/2016</t>
  </si>
  <si>
    <t>nov/2015 a out/2016</t>
  </si>
  <si>
    <t>dez/2015 a nov/2016</t>
  </si>
  <si>
    <t>jan/2016 a dez/2016</t>
  </si>
  <si>
    <t>fev/2016 a jan/2017</t>
  </si>
  <si>
    <t>mar/2016 a fev/2017</t>
  </si>
  <si>
    <t>abr/2016 a mar/2017</t>
  </si>
  <si>
    <t>maio/2016 a abr/2017</t>
  </si>
  <si>
    <t>jun/2016 a maio/2017</t>
  </si>
  <si>
    <t>jul/2016 a jun/2017</t>
  </si>
  <si>
    <t>ago/2016 a jul/2017</t>
  </si>
  <si>
    <t>set/2016 a ago/2017</t>
  </si>
  <si>
    <t>out/2016 a set/2017</t>
  </si>
  <si>
    <t>nov/2016 a out/2017</t>
  </si>
  <si>
    <t>dez/2016 a nov/2017</t>
  </si>
  <si>
    <t>jan/2017 a dez/2017</t>
  </si>
  <si>
    <t>fev/2017 a jan/2018</t>
  </si>
  <si>
    <t>mar/2017 a fev/2018</t>
  </si>
  <si>
    <t>abr/2017 a mar/2018</t>
  </si>
  <si>
    <t>maio/2017 a abr/2018</t>
  </si>
  <si>
    <t>jun/2017 a maio/2018</t>
  </si>
  <si>
    <t>jul/2017 a jun/2018</t>
  </si>
  <si>
    <t>ago/2017 a jul/2018</t>
  </si>
  <si>
    <t>set/2017 a ago/2018</t>
  </si>
  <si>
    <t>out/2017 a set/2018</t>
  </si>
  <si>
    <t>Com o estorno da receita dos técnicos</t>
  </si>
  <si>
    <t>nov/2017 a out/2018</t>
  </si>
  <si>
    <t>dez/2017 a nov/2018</t>
  </si>
  <si>
    <t>jan/2018 a dez/2018</t>
  </si>
  <si>
    <t>fev/2018 a jan/2019</t>
  </si>
  <si>
    <t>mar/2018 a fev/2019</t>
  </si>
  <si>
    <t>abr/2018 a mar/2019</t>
  </si>
  <si>
    <t>maio/2018 a abr/2019</t>
  </si>
  <si>
    <t>jun/2018 a maio/2019</t>
  </si>
  <si>
    <t>jul2018 a jun/2019</t>
  </si>
  <si>
    <t>ago/2018 a jul/2019</t>
  </si>
  <si>
    <t>set/2018 a ago/2019</t>
  </si>
  <si>
    <t>out/2018 a set/2019</t>
  </si>
  <si>
    <t>nov/2018 a out/2019</t>
  </si>
  <si>
    <t>dez/2018 a nov/2019</t>
  </si>
  <si>
    <t>jan/2019 a dez/2019</t>
  </si>
  <si>
    <t>fev/2019 a jan/2020</t>
  </si>
  <si>
    <t>mar/2019 a fev/2020</t>
  </si>
  <si>
    <t>abr/2019 a mar/2020</t>
  </si>
  <si>
    <t>maio/2019 a abr/2020</t>
  </si>
  <si>
    <t>Jun/2019 a maio/2020</t>
  </si>
  <si>
    <t>jul/2019 a jun/2020</t>
  </si>
  <si>
    <t>ago/2019 a jul/2020</t>
  </si>
  <si>
    <t>set/2019 a ago/2020</t>
  </si>
  <si>
    <t>out/2019 a set/2020</t>
  </si>
  <si>
    <t>nov/2019 a out/2020</t>
  </si>
  <si>
    <t>dez/2019 a nov/2020</t>
  </si>
  <si>
    <t>DEMAIS DESPESAS - COMPOSIÇÃO DAS CONTAS - OUTUBRO 2020</t>
  </si>
  <si>
    <t>VR ORÇADO</t>
  </si>
  <si>
    <t>EXECUTADO NO MÊS</t>
  </si>
  <si>
    <t>EXECUTADO NO PERÍODO</t>
  </si>
  <si>
    <t>6.2.2.1.1.01.04</t>
  </si>
  <si>
    <t xml:space="preserve"> OUTRAS DESPESAS CORRENTES </t>
  </si>
  <si>
    <t>6.2.2.1.1.01.04.01</t>
  </si>
  <si>
    <t>BENEFÍCIOS A PESSOAL</t>
  </si>
  <si>
    <t>6.2.2.1.1.01.04.01.001</t>
  </si>
  <si>
    <t>VALE TRANSPORTE</t>
  </si>
  <si>
    <t>6.2.2.1.1.01.04.01.004</t>
  </si>
  <si>
    <t>PLANO ODONTOLÓGICO</t>
  </si>
  <si>
    <t>6.2.2.1.1.01.04.02</t>
  </si>
  <si>
    <t>BENEFÍCIOS ASSISTENCIAIS</t>
  </si>
  <si>
    <t>6.2.2.1.1.01.04.02.01</t>
  </si>
  <si>
    <t>AUXÍLIO FUNERAL</t>
  </si>
  <si>
    <t>6.2.2.1.1.01.04.03</t>
  </si>
  <si>
    <t>USO DE BENS E SERVIÇOS</t>
  </si>
  <si>
    <t>6.2.2.1.1.01.04.03.001</t>
  </si>
  <si>
    <t>MATERIAL DE CONSUMO</t>
  </si>
  <si>
    <t>6.2.2.1.1.01.04.03.01.001.001</t>
  </si>
  <si>
    <t>MATERIAIS DE EXPEDIENTE</t>
  </si>
  <si>
    <t>6.2.2.1.1.01.04.03.01.001.005</t>
  </si>
  <si>
    <t>BANDEIRAS, FLÂMULAS E PLACAS</t>
  </si>
  <si>
    <t>6.2.2.1.1.01.04.03.01.001.008</t>
  </si>
  <si>
    <t>MATERIAIS DE INFORMÁTICA</t>
  </si>
  <si>
    <t>6.2.2.1.1.01.04.03.01.001.009</t>
  </si>
  <si>
    <t>AQUISIÇÃO DE SOFTWARES DE BASE</t>
  </si>
  <si>
    <t>6.2.2.1.1.01.04.03.01.001.010</t>
  </si>
  <si>
    <t>MATERIAIS ELÉTRICOS E DE TELEFONIA</t>
  </si>
  <si>
    <t>6.2.2.1.1.01.04.03.01.001.011</t>
  </si>
  <si>
    <t>MATER. PARA A MAN. DE BENS MÓVEIS</t>
  </si>
  <si>
    <t>6.2.2.1.1.01.04.03.01.001.012</t>
  </si>
  <si>
    <t>MATER. PARA A MAN. DE BENS IM. INST.</t>
  </si>
  <si>
    <t>6.2.2.1.1.01.04.03.01.001.014</t>
  </si>
  <si>
    <t>UNIFORMES, TECIDOS E AVIAMENTOS</t>
  </si>
  <si>
    <t>6.2.2.1.1.01.04.03.01.001.015</t>
  </si>
  <si>
    <t>GÊNEROS DE ALIMENTAÇÃO</t>
  </si>
  <si>
    <t>6.2.2.1.1.01.04.03.01.001.016</t>
  </si>
  <si>
    <t>MATERIAIS DE HIG., LIMP. E CONSERV.</t>
  </si>
  <si>
    <t>6.2.2.1.1.01.04.03.01.001.017</t>
  </si>
  <si>
    <t>BENS MÓVEIS NÃO ATIVÁVEIS</t>
  </si>
  <si>
    <t>6.2.2.1.1.01.04.03.01.001.019</t>
  </si>
  <si>
    <t>PRÊMIOS, DIPLOMAS E MEDALHAS</t>
  </si>
  <si>
    <t>6.2.2.1.1.01.04.03.002</t>
  </si>
  <si>
    <t>DESPESAS COM VEÍCULOS</t>
  </si>
  <si>
    <t>6.2.2.1.1.01.04.03.002.002</t>
  </si>
  <si>
    <t>PEÇAS E ACESSÓRIOS</t>
  </si>
  <si>
    <t>6.2.2.1.1.01.04.03.003</t>
  </si>
  <si>
    <t>OUTROS MATERIAIS DE CONSUMO</t>
  </si>
  <si>
    <t>6.2.2.1.1.01.04.03.003.001</t>
  </si>
  <si>
    <t>6.2.2.1.1.01.04.03.004</t>
  </si>
  <si>
    <t>SERVIÇOS DE TERCEIROS PESSOAS FÍSICAS</t>
  </si>
  <si>
    <t>6.2.2.1.1.01.04.03.004.008</t>
  </si>
  <si>
    <t>SERVIÇOS DE LIMPEZA, CONSERV. E JARD.</t>
  </si>
  <si>
    <t>6.2.2.1.1.01.04.03.004.011</t>
  </si>
  <si>
    <t>SERV. SEL. TREINAMENTO E ORIENTAÇÃO</t>
  </si>
  <si>
    <t>6.2.2.1.1.01.04.03.004.014</t>
  </si>
  <si>
    <t>SERVIÇOS FOTOGRÁFICOS E VIDEOS</t>
  </si>
  <si>
    <t>6.2.2.1.1.01.04.05</t>
  </si>
  <si>
    <t>DIÁRIAS</t>
  </si>
  <si>
    <t>6.2.2.1.1.01.04.05.003</t>
  </si>
  <si>
    <t>COLABORADORES</t>
  </si>
  <si>
    <t>6.2.2.1.1.01.04.06</t>
  </si>
  <si>
    <t>PASSAGENS</t>
  </si>
  <si>
    <t>6.2.2.1.1.01.04.06.001</t>
  </si>
  <si>
    <t>FUNCIONÁRIOS</t>
  </si>
  <si>
    <t>6.2.2.1.1.01.04.06.003</t>
  </si>
  <si>
    <t>6.2.2.1.1.01.04.08</t>
  </si>
  <si>
    <t>DESPESAS COM LOCOMOÇÃO</t>
  </si>
  <si>
    <t>6.2.2.1.1.01.04.08.007</t>
  </si>
  <si>
    <t>FRETES E TRANSPORTE DE ENCOMENDAS</t>
  </si>
  <si>
    <t>6.2.2.1.1.01.04.09</t>
  </si>
  <si>
    <t>SERVIÇOS DE TERCEIROS PESSOA JURÍDICA</t>
  </si>
  <si>
    <t>6.2.2.1.1.01.04.09.001</t>
  </si>
  <si>
    <t>SERVIÇOS DE AUDITORIA E PERÍCIIA</t>
  </si>
  <si>
    <t>6.2.2.1.1.01.04.09.002</t>
  </si>
  <si>
    <t>SERVIÇOS DE ASSESSORIA E CONSULTORIA</t>
  </si>
  <si>
    <t>6.2.2.1.1.01.04.09.010</t>
  </si>
  <si>
    <t>SERVIÇOS DE MEDICINA DO TRABALHO</t>
  </si>
  <si>
    <t>6.2.2.1.1.01.04.09.011</t>
  </si>
  <si>
    <t>SERVIÇOS DE SEL., TREINAM. E ORIENT. PROF.</t>
  </si>
  <si>
    <t>6.2.2.1.1.01.04.09.012</t>
  </si>
  <si>
    <t>SERVIÇOS DE INTERMEDIAÇÃO DE ESTÁGIOS</t>
  </si>
  <si>
    <t>6.2.2.1.1.01.04.09.014</t>
  </si>
  <si>
    <t>REMUNERAÇÃO DE MENORES APRENDIZES</t>
  </si>
  <si>
    <t>6.2.2.1.1.01.04.09.017</t>
  </si>
  <si>
    <t>SERVIÇOS FOTOGRÁFICOS E VÍDEOS</t>
  </si>
  <si>
    <t>6.2.2.1.1.01.04.09.018</t>
  </si>
  <si>
    <t>SERVIÇOS DE DIVULGAÇÃO INSTITUCIONAL</t>
  </si>
  <si>
    <t>6.2.2.1.1.01.04.09.022</t>
  </si>
  <si>
    <t>DEMAIS SERVIÇOS PROFISSIONAIS</t>
  </si>
  <si>
    <t>6.2.2.1.1.01.04.09.023</t>
  </si>
  <si>
    <t>SEGUROS DE BENS MÓVEIS</t>
  </si>
  <si>
    <t>6.2.2.1.1.01.04.09.024</t>
  </si>
  <si>
    <t>SEGUROS DE BENS IMÓVEIS</t>
  </si>
  <si>
    <t>6.2.2.1.1.01.04.09.026</t>
  </si>
  <si>
    <t>LOCAÇÃO DE BENS MÓVEIS, MÁQ. E EQUIP.</t>
  </si>
  <si>
    <t>6.2.2.1.1.01.04.09.027</t>
  </si>
  <si>
    <t>LOCAÇÃO DE BENS IMÓVEIS</t>
  </si>
  <si>
    <t>6.2.2.1.1.01.04.09.031</t>
  </si>
  <si>
    <t>MANUTENÇÃO E CONSERVAÇÃO DE VEÍCULOS</t>
  </si>
  <si>
    <t>6.2.2.1.1.01.04.09.033</t>
  </si>
  <si>
    <t>SERVIÇOS DE ÁGUA E ESGOTO</t>
  </si>
  <si>
    <t>6.2.2.1.1.01.04.09.039</t>
  </si>
  <si>
    <t>ASSINATURAS</t>
  </si>
  <si>
    <t>6.2.2.1.1.01.04.09.040</t>
  </si>
  <si>
    <t>PUBLICAÇÕES TÉCNICAS</t>
  </si>
  <si>
    <t>6.2.2.1.1.01.04.09.044</t>
  </si>
  <si>
    <t>IMPRESSOS GRÁFICOS</t>
  </si>
  <si>
    <t>6.2.2.1.1.01.04.09.046</t>
  </si>
  <si>
    <t>ENCADERNAÇÃO DE DOCUMENTOS</t>
  </si>
  <si>
    <t>6.2.2.1.1.01.04.09.047</t>
  </si>
  <si>
    <t xml:space="preserve">INSCRIÇÕES </t>
  </si>
  <si>
    <t>6.2.2.1.1.01.04.09.048</t>
  </si>
  <si>
    <t>SERVIÇOS DE ALIMENTAÇÃO</t>
  </si>
  <si>
    <t xml:space="preserve">Saldos em 30.11.2020 - Posição em 14.12.2020 </t>
  </si>
  <si>
    <t>Extrato bancário</t>
  </si>
  <si>
    <t>Contabilidade</t>
  </si>
  <si>
    <t>Diferença</t>
  </si>
  <si>
    <t>Investimento 1370-6 (sigma)</t>
  </si>
  <si>
    <t>MÚTUA/SOEA 76ª - 4521-7</t>
  </si>
  <si>
    <t>PRODAFIN 2019 - 4494-6</t>
  </si>
  <si>
    <t>MÚTUA/SOEA 77ª - 4592-6</t>
  </si>
  <si>
    <t>BANCO DO BRASIL 74123-X</t>
  </si>
  <si>
    <t>PRODACOM 2018 - 4489-0</t>
  </si>
  <si>
    <t>PRODAFISC CUSTEIO 2019 - 4537-3</t>
  </si>
  <si>
    <t>PRODAFISC 2019 - 100.534-8 - INVESTIMENTO</t>
  </si>
  <si>
    <t>PRODAFISC 2020 - 100.768-5 - CUSTEIO</t>
  </si>
  <si>
    <t>PRODESU IIIA - PRODACOM 2020 - 100.784-7</t>
  </si>
  <si>
    <t>PRODESU II D - 100.535-6 - CONVÊNIO 91/2019</t>
  </si>
  <si>
    <t>PRODESU II D - 100.858-4 - CONVÊNIO 92/2019</t>
  </si>
  <si>
    <t>PRODESU IID - 100.857-6 - CONVÊNIO 102/2019</t>
  </si>
  <si>
    <t>Participação da sessão plenária do mês 04/2022</t>
  </si>
  <si>
    <t>Participação de reunião ordinária da CEAGRO no mês 04/2022</t>
  </si>
  <si>
    <t>Participação de reunião ordinária da CEEC no mês 05/2022</t>
  </si>
  <si>
    <t>VIAGENS DE CONSELHEIROS NO MÊS 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</si>
</sst>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* #,##0.00\ ;* \(#,##0.00\);* \-#\ ;@\ "/>
    <numFmt numFmtId="165" formatCode="d/m/yyyy"/>
    <numFmt numFmtId="166" formatCode="0.0"/>
    <numFmt numFmtId="167" formatCode="[$R$-416]\ #,##0.00;[Red]\-[$R$-416]\ #,##0.00"/>
    <numFmt numFmtId="168" formatCode="&quot;R$ &quot;#,##0.00"/>
    <numFmt numFmtId="169" formatCode="* #,##0.00\ ;\-* #,##0.00\ ;* \-#\ ;@\ "/>
    <numFmt numFmtId="170" formatCode="* #,##0\ ;* \(#,##0\);* \-#\ ;@\ "/>
    <numFmt numFmtId="171" formatCode="#,##0.00\ ;[Red]\(#,##0.00\)"/>
    <numFmt numFmtId="172" formatCode="&quot;R$ &quot;#,##0.00;[Red]&quot;-R$ &quot;#,##0.00"/>
    <numFmt numFmtId="173" formatCode="&quot; R$ &quot;* #,##0.00\ ;&quot;-R$ &quot;* #,##0.00\ ;&quot; R$ &quot;* \-#\ ;@\ "/>
    <numFmt numFmtId="174" formatCode="#,##0.00\ ;\(#,##0.00\);\-#\ ;@\ "/>
    <numFmt numFmtId="175" formatCode="#,##0\ ;\(#,##0\);\-#\ ;@\ "/>
    <numFmt numFmtId="176" formatCode="yyyy\-mm\-dd"/>
  </numFmts>
  <fonts count="22" x14ac:knownFonts="1">
    <font>
      <sz val="10"/>
      <name val="Arial"/>
      <charset val="1"/>
    </font>
    <font>
      <sz val="8"/>
      <name val="Calibri"/>
      <family val="2"/>
      <charset val="1"/>
    </font>
    <font>
      <b/>
      <sz val="8"/>
      <name val="Calibri"/>
      <family val="2"/>
      <charset val="1"/>
    </font>
    <font>
      <sz val="10"/>
      <name val="Arial"/>
      <family val="2"/>
      <charset val="1"/>
    </font>
    <font>
      <sz val="8"/>
      <color rgb="FF000000"/>
      <name val="Calibri"/>
      <family val="2"/>
      <charset val="1"/>
    </font>
    <font>
      <sz val="8"/>
      <color rgb="FF000000"/>
      <name val="Arial"/>
      <family val="2"/>
      <charset val="1"/>
    </font>
    <font>
      <sz val="10"/>
      <name val="Calibri"/>
      <family val="2"/>
      <charset val="1"/>
    </font>
    <font>
      <sz val="7"/>
      <color rgb="FF000000"/>
      <name val="Arial"/>
      <family val="2"/>
      <charset val="1"/>
    </font>
    <font>
      <b/>
      <sz val="8"/>
      <color rgb="FF000000"/>
      <name val="Calibri"/>
      <family val="2"/>
      <charset val="1"/>
    </font>
    <font>
      <b/>
      <sz val="10"/>
      <color rgb="FF000000"/>
      <name val="Times New Roman"/>
      <family val="1"/>
      <charset val="1"/>
    </font>
    <font>
      <b/>
      <sz val="10"/>
      <name val="Calibri"/>
      <family val="2"/>
      <charset val="1"/>
    </font>
    <font>
      <sz val="10"/>
      <color rgb="FFFF0000"/>
      <name val="Calibri"/>
      <family val="2"/>
      <charset val="1"/>
    </font>
    <font>
      <b/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sz val="8"/>
      <color rgb="FFFFFFFF"/>
      <name val="Calibri"/>
      <family val="2"/>
      <charset val="1"/>
    </font>
    <font>
      <sz val="10"/>
      <color rgb="FFFFFFFF"/>
      <name val="Arial"/>
      <family val="2"/>
      <charset val="1"/>
    </font>
    <font>
      <sz val="8"/>
      <color rgb="FFFF0000"/>
      <name val="Calibri"/>
      <family val="2"/>
      <charset val="1"/>
    </font>
    <font>
      <sz val="8"/>
      <color rgb="FFFFFFFF"/>
      <name val="Calibri"/>
      <family val="2"/>
      <charset val="1"/>
    </font>
    <font>
      <b/>
      <sz val="9"/>
      <color rgb="FF000000"/>
      <name val="Tahoma"/>
      <family val="2"/>
      <charset val="1"/>
    </font>
    <font>
      <b/>
      <sz val="8"/>
      <color rgb="FFFF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ADC5E7"/>
        <bgColor rgb="FF9DC3E6"/>
      </patternFill>
    </fill>
    <fill>
      <patternFill patternType="solid">
        <fgColor rgb="FFFFFFFF"/>
        <bgColor rgb="FFFFFFCC"/>
      </patternFill>
    </fill>
    <fill>
      <patternFill patternType="solid">
        <fgColor rgb="FF8FAADC"/>
        <bgColor rgb="FF9DC3E6"/>
      </patternFill>
    </fill>
    <fill>
      <patternFill patternType="solid">
        <fgColor rgb="FFA6A6A6"/>
        <bgColor rgb="FF8FAADC"/>
      </patternFill>
    </fill>
    <fill>
      <patternFill patternType="solid">
        <fgColor rgb="FFD9D9D9"/>
        <bgColor rgb="FFBDD7EE"/>
      </patternFill>
    </fill>
    <fill>
      <patternFill patternType="solid">
        <fgColor rgb="FFBFBFBF"/>
        <bgColor rgb="FFADC5E7"/>
      </patternFill>
    </fill>
    <fill>
      <patternFill patternType="solid">
        <fgColor rgb="FF558ED5"/>
        <bgColor rgb="FF5B9BD5"/>
      </patternFill>
    </fill>
    <fill>
      <patternFill patternType="solid">
        <fgColor rgb="FF5B9BD5"/>
        <bgColor rgb="FF558ED5"/>
      </patternFill>
    </fill>
    <fill>
      <patternFill patternType="solid">
        <fgColor rgb="FFFBE5D6"/>
        <bgColor rgb="FFFFFFCC"/>
      </patternFill>
    </fill>
    <fill>
      <patternFill patternType="solid">
        <fgColor rgb="FF9DC3E6"/>
        <bgColor rgb="FFADC5E7"/>
      </patternFill>
    </fill>
    <fill>
      <patternFill patternType="solid">
        <fgColor rgb="FFFFFF00"/>
        <bgColor rgb="FFFFFF00"/>
      </patternFill>
    </fill>
    <fill>
      <patternFill patternType="solid">
        <fgColor rgb="FF2E75B6"/>
        <bgColor rgb="FF4A7EBB"/>
      </patternFill>
    </fill>
    <fill>
      <patternFill patternType="solid">
        <fgColor rgb="FFBDD7EE"/>
        <bgColor rgb="FFADC5E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9DC3E6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4">
    <xf numFmtId="0" fontId="0" fillId="0" borderId="0"/>
    <xf numFmtId="164" fontId="3" fillId="0" borderId="0" applyBorder="0" applyProtection="0"/>
    <xf numFmtId="173" fontId="3" fillId="0" borderId="0" applyBorder="0" applyProtection="0"/>
    <xf numFmtId="174" fontId="13" fillId="0" borderId="0" applyBorder="0" applyProtection="0"/>
  </cellStyleXfs>
  <cellXfs count="226">
    <xf numFmtId="0" fontId="0" fillId="0" borderId="0" xfId="0"/>
    <xf numFmtId="0" fontId="1" fillId="0" borderId="0" xfId="0" applyFont="1" applyAlignment="1">
      <alignment vertical="center"/>
    </xf>
    <xf numFmtId="164" fontId="2" fillId="3" borderId="0" xfId="1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166" fontId="1" fillId="2" borderId="0" xfId="0" applyNumberFormat="1" applyFont="1" applyFill="1" applyAlignment="1">
      <alignment horizontal="center"/>
    </xf>
    <xf numFmtId="167" fontId="1" fillId="2" borderId="0" xfId="1" applyNumberFormat="1" applyFont="1" applyFill="1" applyBorder="1" applyAlignment="1" applyProtection="1">
      <alignment horizontal="righ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4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7" fontId="1" fillId="0" borderId="0" xfId="1" applyNumberFormat="1" applyFont="1" applyBorder="1" applyAlignment="1" applyProtection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center" wrapText="1"/>
    </xf>
    <xf numFmtId="49" fontId="1" fillId="3" borderId="0" xfId="0" applyNumberFormat="1" applyFont="1" applyFill="1" applyAlignment="1">
      <alignment horizontal="center"/>
    </xf>
    <xf numFmtId="166" fontId="1" fillId="3" borderId="0" xfId="0" applyNumberFormat="1" applyFont="1" applyFill="1" applyAlignment="1">
      <alignment horizontal="center"/>
    </xf>
    <xf numFmtId="167" fontId="1" fillId="3" borderId="0" xfId="1" applyNumberFormat="1" applyFont="1" applyFill="1" applyBorder="1" applyAlignment="1" applyProtection="1">
      <alignment horizontal="right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Border="1" applyAlignment="1">
      <alignment horizontal="justify"/>
    </xf>
    <xf numFmtId="0" fontId="4" fillId="0" borderId="0" xfId="0" applyFont="1" applyBorder="1" applyAlignment="1">
      <alignment horizontal="justify"/>
    </xf>
    <xf numFmtId="14" fontId="1" fillId="0" borderId="0" xfId="0" applyNumberFormat="1" applyFont="1" applyAlignment="1">
      <alignment horizontal="center"/>
    </xf>
    <xf numFmtId="0" fontId="4" fillId="2" borderId="0" xfId="0" applyFont="1" applyFill="1" applyBorder="1"/>
    <xf numFmtId="14" fontId="1" fillId="2" borderId="0" xfId="0" applyNumberFormat="1" applyFont="1" applyFill="1" applyAlignment="1">
      <alignment horizontal="center"/>
    </xf>
    <xf numFmtId="165" fontId="4" fillId="0" borderId="0" xfId="0" applyNumberFormat="1" applyFont="1" applyBorder="1" applyAlignment="1">
      <alignment horizontal="left"/>
    </xf>
    <xf numFmtId="0" fontId="5" fillId="2" borderId="0" xfId="0" applyFont="1" applyFill="1" applyBorder="1" applyAlignment="1">
      <alignment horizontal="justify"/>
    </xf>
    <xf numFmtId="0" fontId="5" fillId="2" borderId="0" xfId="0" applyFont="1" applyFill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4" fillId="0" borderId="0" xfId="0" applyFont="1" applyBorder="1"/>
    <xf numFmtId="165" fontId="4" fillId="2" borderId="0" xfId="0" applyNumberFormat="1" applyFont="1" applyFill="1" applyAlignment="1">
      <alignment horizontal="center"/>
    </xf>
    <xf numFmtId="167" fontId="1" fillId="2" borderId="0" xfId="0" applyNumberFormat="1" applyFont="1" applyFill="1" applyAlignment="1">
      <alignment horizontal="right"/>
    </xf>
    <xf numFmtId="165" fontId="4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right"/>
    </xf>
    <xf numFmtId="168" fontId="2" fillId="0" borderId="0" xfId="1" applyNumberFormat="1" applyFont="1" applyBorder="1" applyAlignment="1" applyProtection="1">
      <alignment horizontal="right"/>
    </xf>
    <xf numFmtId="164" fontId="1" fillId="2" borderId="0" xfId="1" applyFont="1" applyFill="1" applyBorder="1" applyAlignment="1" applyProtection="1">
      <alignment horizontal="left"/>
    </xf>
    <xf numFmtId="168" fontId="1" fillId="2" borderId="0" xfId="1" applyNumberFormat="1" applyFont="1" applyFill="1" applyBorder="1" applyAlignment="1" applyProtection="1">
      <alignment horizontal="center"/>
    </xf>
    <xf numFmtId="164" fontId="1" fillId="3" borderId="0" xfId="1" applyFont="1" applyFill="1" applyBorder="1" applyAlignment="1" applyProtection="1">
      <alignment horizontal="left"/>
    </xf>
    <xf numFmtId="168" fontId="1" fillId="3" borderId="0" xfId="1" applyNumberFormat="1" applyFont="1" applyFill="1" applyBorder="1" applyAlignment="1" applyProtection="1">
      <alignment horizontal="center"/>
    </xf>
    <xf numFmtId="169" fontId="1" fillId="2" borderId="0" xfId="1" applyNumberFormat="1" applyFont="1" applyFill="1" applyBorder="1" applyAlignment="1" applyProtection="1">
      <alignment wrapText="1"/>
    </xf>
    <xf numFmtId="0" fontId="6" fillId="0" borderId="0" xfId="0" applyFont="1" applyAlignment="1">
      <alignment vertical="center"/>
    </xf>
    <xf numFmtId="0" fontId="1" fillId="2" borderId="0" xfId="0" applyFont="1" applyFill="1" applyAlignment="1">
      <alignment horizontal="left" vertical="center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167" fontId="1" fillId="0" borderId="0" xfId="1" applyNumberFormat="1" applyFont="1" applyBorder="1" applyAlignment="1" applyProtection="1">
      <alignment horizontal="right"/>
    </xf>
    <xf numFmtId="0" fontId="1" fillId="0" borderId="0" xfId="0" applyFont="1" applyAlignment="1">
      <alignment horizontal="left" vertical="center"/>
    </xf>
    <xf numFmtId="0" fontId="7" fillId="0" borderId="0" xfId="0" applyFont="1" applyBorder="1" applyAlignment="1">
      <alignment wrapText="1"/>
    </xf>
    <xf numFmtId="0" fontId="1" fillId="0" borderId="0" xfId="0" applyFont="1" applyAlignment="1">
      <alignment horizontal="left" vertical="center"/>
    </xf>
    <xf numFmtId="167" fontId="0" fillId="0" borderId="0" xfId="0" applyNumberFormat="1"/>
    <xf numFmtId="164" fontId="1" fillId="0" borderId="0" xfId="1" applyFont="1" applyBorder="1" applyProtection="1"/>
    <xf numFmtId="164" fontId="1" fillId="3" borderId="0" xfId="1" applyFont="1" applyFill="1" applyBorder="1" applyAlignment="1" applyProtection="1">
      <alignment horizontal="center"/>
    </xf>
    <xf numFmtId="164" fontId="2" fillId="4" borderId="0" xfId="1" applyFont="1" applyFill="1" applyBorder="1" applyAlignment="1" applyProtection="1">
      <alignment horizontal="center"/>
    </xf>
    <xf numFmtId="4" fontId="3" fillId="0" borderId="0" xfId="0" applyNumberFormat="1" applyFont="1"/>
    <xf numFmtId="164" fontId="2" fillId="4" borderId="0" xfId="1" applyFont="1" applyFill="1" applyBorder="1" applyProtection="1"/>
    <xf numFmtId="164" fontId="2" fillId="0" borderId="0" xfId="1" applyFont="1" applyBorder="1" applyProtection="1"/>
    <xf numFmtId="164" fontId="2" fillId="0" borderId="0" xfId="1" applyFont="1" applyBorder="1" applyAlignment="1" applyProtection="1">
      <alignment horizontal="center"/>
    </xf>
    <xf numFmtId="170" fontId="8" fillId="4" borderId="0" xfId="1" applyNumberFormat="1" applyFont="1" applyFill="1" applyBorder="1" applyProtection="1">
      <protection locked="0"/>
    </xf>
    <xf numFmtId="164" fontId="8" fillId="4" borderId="0" xfId="1" applyFont="1" applyFill="1" applyBorder="1" applyProtection="1">
      <protection locked="0"/>
    </xf>
    <xf numFmtId="164" fontId="8" fillId="4" borderId="0" xfId="1" applyFont="1" applyFill="1" applyBorder="1" applyAlignment="1" applyProtection="1">
      <alignment horizontal="center"/>
      <protection locked="0"/>
    </xf>
    <xf numFmtId="164" fontId="2" fillId="3" borderId="0" xfId="1" applyFont="1" applyFill="1" applyBorder="1" applyProtection="1"/>
    <xf numFmtId="170" fontId="8" fillId="3" borderId="0" xfId="1" applyNumberFormat="1" applyFont="1" applyFill="1" applyBorder="1" applyProtection="1">
      <protection locked="0"/>
    </xf>
    <xf numFmtId="164" fontId="8" fillId="3" borderId="0" xfId="1" applyFont="1" applyFill="1" applyBorder="1" applyProtection="1">
      <protection locked="0"/>
    </xf>
    <xf numFmtId="164" fontId="8" fillId="3" borderId="0" xfId="1" applyFont="1" applyFill="1" applyBorder="1" applyAlignment="1" applyProtection="1">
      <alignment horizontal="center"/>
      <protection locked="0"/>
    </xf>
    <xf numFmtId="170" fontId="2" fillId="3" borderId="0" xfId="1" applyNumberFormat="1" applyFont="1" applyFill="1" applyBorder="1" applyProtection="1">
      <protection locked="0"/>
    </xf>
    <xf numFmtId="164" fontId="2" fillId="3" borderId="0" xfId="1" applyFont="1" applyFill="1" applyBorder="1" applyProtection="1">
      <protection locked="0"/>
    </xf>
    <xf numFmtId="1" fontId="2" fillId="4" borderId="0" xfId="1" applyNumberFormat="1" applyFont="1" applyFill="1" applyBorder="1" applyAlignment="1" applyProtection="1">
      <alignment horizontal="center"/>
    </xf>
    <xf numFmtId="170" fontId="2" fillId="4" borderId="0" xfId="1" applyNumberFormat="1" applyFont="1" applyFill="1" applyBorder="1" applyProtection="1"/>
    <xf numFmtId="170" fontId="2" fillId="0" borderId="0" xfId="1" applyNumberFormat="1" applyFont="1" applyBorder="1" applyProtection="1"/>
    <xf numFmtId="164" fontId="1" fillId="3" borderId="0" xfId="1" applyFont="1" applyFill="1" applyBorder="1" applyProtection="1"/>
    <xf numFmtId="164" fontId="1" fillId="4" borderId="0" xfId="1" applyFont="1" applyFill="1" applyBorder="1" applyProtection="1"/>
    <xf numFmtId="164" fontId="2" fillId="5" borderId="0" xfId="1" applyFont="1" applyFill="1" applyBorder="1" applyAlignment="1" applyProtection="1">
      <alignment wrapText="1"/>
    </xf>
    <xf numFmtId="164" fontId="2" fillId="5" borderId="0" xfId="1" applyFont="1" applyFill="1" applyBorder="1" applyAlignment="1" applyProtection="1">
      <alignment horizontal="center" wrapText="1"/>
    </xf>
    <xf numFmtId="169" fontId="0" fillId="0" borderId="0" xfId="0" applyNumberFormat="1"/>
    <xf numFmtId="164" fontId="1" fillId="6" borderId="0" xfId="1" applyFont="1" applyFill="1" applyBorder="1" applyProtection="1"/>
    <xf numFmtId="164" fontId="1" fillId="6" borderId="0" xfId="1" applyFont="1" applyFill="1" applyBorder="1" applyProtection="1">
      <protection locked="0"/>
    </xf>
    <xf numFmtId="164" fontId="1" fillId="6" borderId="0" xfId="1" applyFont="1" applyFill="1" applyBorder="1" applyAlignment="1" applyProtection="1">
      <alignment horizontal="center"/>
    </xf>
    <xf numFmtId="164" fontId="1" fillId="3" borderId="0" xfId="1" applyFont="1" applyFill="1" applyBorder="1" applyProtection="1">
      <protection locked="0"/>
    </xf>
    <xf numFmtId="164" fontId="1" fillId="0" borderId="0" xfId="1" applyFont="1" applyBorder="1" applyProtection="1">
      <protection locked="0"/>
    </xf>
    <xf numFmtId="164" fontId="0" fillId="0" borderId="0" xfId="0" applyNumberFormat="1"/>
    <xf numFmtId="164" fontId="2" fillId="5" borderId="0" xfId="1" applyFont="1" applyFill="1" applyBorder="1" applyAlignment="1" applyProtection="1">
      <alignment horizontal="center"/>
    </xf>
    <xf numFmtId="164" fontId="1" fillId="5" borderId="0" xfId="1" applyFont="1" applyFill="1" applyBorder="1" applyAlignment="1" applyProtection="1">
      <alignment horizontal="right"/>
    </xf>
    <xf numFmtId="164" fontId="1" fillId="0" borderId="0" xfId="1" applyFont="1" applyBorder="1" applyAlignment="1" applyProtection="1">
      <alignment horizontal="right"/>
    </xf>
    <xf numFmtId="164" fontId="1" fillId="3" borderId="0" xfId="1" applyFont="1" applyFill="1" applyBorder="1" applyAlignment="1" applyProtection="1">
      <alignment horizontal="right"/>
    </xf>
    <xf numFmtId="164" fontId="3" fillId="0" borderId="0" xfId="1" applyBorder="1" applyProtection="1"/>
    <xf numFmtId="4" fontId="0" fillId="0" borderId="0" xfId="0" applyNumberFormat="1"/>
    <xf numFmtId="0" fontId="1" fillId="0" borderId="0" xfId="0" applyFont="1"/>
    <xf numFmtId="0" fontId="2" fillId="4" borderId="0" xfId="0" applyFont="1" applyFill="1" applyAlignment="1">
      <alignment horizontal="center"/>
    </xf>
    <xf numFmtId="164" fontId="2" fillId="6" borderId="0" xfId="1" applyFont="1" applyFill="1" applyBorder="1" applyProtection="1"/>
    <xf numFmtId="164" fontId="2" fillId="6" borderId="0" xfId="1" applyFont="1" applyFill="1" applyBorder="1" applyAlignment="1" applyProtection="1">
      <alignment vertical="center" wrapText="1"/>
    </xf>
    <xf numFmtId="164" fontId="2" fillId="7" borderId="0" xfId="1" applyFont="1" applyFill="1" applyBorder="1" applyProtection="1"/>
    <xf numFmtId="171" fontId="2" fillId="0" borderId="0" xfId="0" applyNumberFormat="1" applyFont="1"/>
    <xf numFmtId="164" fontId="1" fillId="7" borderId="0" xfId="1" applyFont="1" applyFill="1" applyBorder="1" applyProtection="1"/>
    <xf numFmtId="0" fontId="2" fillId="0" borderId="0" xfId="0" applyFont="1"/>
    <xf numFmtId="164" fontId="1" fillId="0" borderId="0" xfId="0" applyNumberFormat="1" applyFont="1"/>
    <xf numFmtId="4" fontId="4" fillId="0" borderId="0" xfId="0" applyNumberFormat="1" applyFont="1"/>
    <xf numFmtId="164" fontId="2" fillId="7" borderId="0" xfId="1" applyFont="1" applyFill="1" applyBorder="1" applyAlignment="1" applyProtection="1">
      <alignment horizontal="left"/>
    </xf>
    <xf numFmtId="0" fontId="2" fillId="5" borderId="0" xfId="0" applyFont="1" applyFill="1" applyAlignment="1">
      <alignment horizontal="center"/>
    </xf>
    <xf numFmtId="171" fontId="2" fillId="4" borderId="0" xfId="0" applyNumberFormat="1" applyFont="1" applyFill="1"/>
    <xf numFmtId="169" fontId="9" fillId="0" borderId="0" xfId="1" applyNumberFormat="1" applyFont="1" applyBorder="1" applyAlignment="1" applyProtection="1">
      <alignment horizontal="left" vertical="top"/>
    </xf>
    <xf numFmtId="164" fontId="2" fillId="8" borderId="0" xfId="1" applyFont="1" applyFill="1" applyBorder="1" applyProtection="1"/>
    <xf numFmtId="164" fontId="1" fillId="8" borderId="0" xfId="1" applyFont="1" applyFill="1" applyBorder="1" applyProtection="1"/>
    <xf numFmtId="164" fontId="2" fillId="9" borderId="0" xfId="1" applyFont="1" applyFill="1" applyBorder="1" applyAlignment="1" applyProtection="1">
      <alignment horizontal="center" vertical="center"/>
    </xf>
    <xf numFmtId="164" fontId="2" fillId="9" borderId="0" xfId="1" applyFont="1" applyFill="1" applyBorder="1" applyAlignment="1" applyProtection="1">
      <alignment horizontal="center" vertical="center" wrapText="1"/>
    </xf>
    <xf numFmtId="169" fontId="1" fillId="0" borderId="0" xfId="1" applyNumberFormat="1" applyFont="1" applyBorder="1" applyAlignment="1" applyProtection="1">
      <alignment horizontal="center" vertical="center"/>
    </xf>
    <xf numFmtId="169" fontId="1" fillId="0" borderId="0" xfId="0" applyNumberFormat="1" applyFont="1" applyAlignment="1">
      <alignment horizontal="center" vertical="center"/>
    </xf>
    <xf numFmtId="169" fontId="1" fillId="3" borderId="0" xfId="1" applyNumberFormat="1" applyFont="1" applyFill="1" applyBorder="1" applyAlignment="1" applyProtection="1">
      <alignment horizontal="center" vertical="center"/>
    </xf>
    <xf numFmtId="164" fontId="2" fillId="9" borderId="0" xfId="1" applyFont="1" applyFill="1" applyBorder="1" applyProtection="1"/>
    <xf numFmtId="169" fontId="2" fillId="9" borderId="0" xfId="1" applyNumberFormat="1" applyFont="1" applyFill="1" applyBorder="1" applyAlignment="1" applyProtection="1">
      <alignment horizontal="center" vertical="center"/>
    </xf>
    <xf numFmtId="169" fontId="2" fillId="9" borderId="0" xfId="0" applyNumberFormat="1" applyFont="1" applyFill="1" applyAlignment="1">
      <alignment horizontal="center" vertical="center"/>
    </xf>
    <xf numFmtId="0" fontId="6" fillId="0" borderId="0" xfId="0" applyFont="1"/>
    <xf numFmtId="0" fontId="10" fillId="10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1" applyFont="1" applyBorder="1" applyProtection="1"/>
    <xf numFmtId="4" fontId="6" fillId="0" borderId="0" xfId="0" applyNumberFormat="1" applyFont="1"/>
    <xf numFmtId="164" fontId="11" fillId="0" borderId="0" xfId="1" applyFont="1" applyBorder="1" applyProtection="1"/>
    <xf numFmtId="0" fontId="10" fillId="0" borderId="1" xfId="0" applyFont="1" applyBorder="1"/>
    <xf numFmtId="164" fontId="10" fillId="0" borderId="1" xfId="1" applyFont="1" applyBorder="1" applyProtection="1"/>
    <xf numFmtId="172" fontId="0" fillId="0" borderId="0" xfId="0" applyNumberFormat="1"/>
    <xf numFmtId="0" fontId="12" fillId="0" borderId="0" xfId="0" applyFont="1"/>
    <xf numFmtId="172" fontId="12" fillId="0" borderId="0" xfId="0" applyNumberFormat="1" applyFont="1"/>
    <xf numFmtId="173" fontId="10" fillId="0" borderId="0" xfId="2" applyFont="1" applyBorder="1" applyProtection="1"/>
    <xf numFmtId="164" fontId="11" fillId="0" borderId="1" xfId="1" applyFont="1" applyBorder="1" applyProtection="1"/>
    <xf numFmtId="164" fontId="6" fillId="0" borderId="1" xfId="1" applyFont="1" applyBorder="1" applyProtection="1"/>
    <xf numFmtId="164" fontId="2" fillId="11" borderId="0" xfId="1" applyFont="1" applyFill="1" applyBorder="1" applyProtection="1"/>
    <xf numFmtId="164" fontId="2" fillId="11" borderId="0" xfId="1" applyFont="1" applyFill="1" applyBorder="1" applyAlignment="1" applyProtection="1">
      <alignment horizontal="center"/>
    </xf>
    <xf numFmtId="170" fontId="8" fillId="11" borderId="0" xfId="1" applyNumberFormat="1" applyFont="1" applyFill="1" applyBorder="1" applyProtection="1">
      <protection locked="0"/>
    </xf>
    <xf numFmtId="164" fontId="8" fillId="11" borderId="0" xfId="1" applyFont="1" applyFill="1" applyBorder="1" applyProtection="1">
      <protection locked="0"/>
    </xf>
    <xf numFmtId="175" fontId="8" fillId="11" borderId="0" xfId="3" applyNumberFormat="1" applyFont="1" applyFill="1" applyBorder="1" applyProtection="1">
      <protection locked="0"/>
    </xf>
    <xf numFmtId="174" fontId="8" fillId="11" borderId="0" xfId="3" applyFont="1" applyFill="1" applyBorder="1" applyProtection="1">
      <protection locked="0"/>
    </xf>
    <xf numFmtId="164" fontId="8" fillId="11" borderId="0" xfId="1" applyFont="1" applyFill="1" applyBorder="1" applyAlignment="1" applyProtection="1">
      <alignment horizontal="center"/>
      <protection locked="0"/>
    </xf>
    <xf numFmtId="175" fontId="8" fillId="3" borderId="0" xfId="3" applyNumberFormat="1" applyFont="1" applyFill="1" applyBorder="1" applyProtection="1">
      <protection locked="0"/>
    </xf>
    <xf numFmtId="174" fontId="8" fillId="0" borderId="0" xfId="3" applyFont="1" applyBorder="1" applyProtection="1"/>
    <xf numFmtId="174" fontId="8" fillId="3" borderId="0" xfId="3" applyFont="1" applyFill="1" applyBorder="1" applyProtection="1">
      <protection locked="0"/>
    </xf>
    <xf numFmtId="170" fontId="2" fillId="11" borderId="0" xfId="1" applyNumberFormat="1" applyFont="1" applyFill="1" applyBorder="1" applyProtection="1"/>
    <xf numFmtId="175" fontId="8" fillId="11" borderId="0" xfId="3" applyNumberFormat="1" applyFont="1" applyFill="1" applyBorder="1" applyProtection="1"/>
    <xf numFmtId="164" fontId="14" fillId="3" borderId="0" xfId="1" applyFont="1" applyFill="1" applyBorder="1" applyProtection="1"/>
    <xf numFmtId="0" fontId="15" fillId="3" borderId="0" xfId="0" applyFont="1" applyFill="1"/>
    <xf numFmtId="170" fontId="15" fillId="3" borderId="0" xfId="0" applyNumberFormat="1" applyFont="1" applyFill="1"/>
    <xf numFmtId="169" fontId="16" fillId="3" borderId="0" xfId="0" applyNumberFormat="1" applyFont="1" applyFill="1"/>
    <xf numFmtId="0" fontId="7" fillId="2" borderId="0" xfId="0" applyFont="1" applyFill="1" applyBorder="1" applyAlignment="1">
      <alignment wrapText="1"/>
    </xf>
    <xf numFmtId="0" fontId="7" fillId="0" borderId="0" xfId="0" applyFont="1" applyBorder="1" applyAlignment="1">
      <alignment horizontal="justify"/>
    </xf>
    <xf numFmtId="0" fontId="2" fillId="6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center" wrapText="1"/>
    </xf>
    <xf numFmtId="169" fontId="1" fillId="0" borderId="0" xfId="0" applyNumberFormat="1" applyFont="1"/>
    <xf numFmtId="169" fontId="2" fillId="0" borderId="0" xfId="0" applyNumberFormat="1" applyFont="1"/>
    <xf numFmtId="164" fontId="1" fillId="7" borderId="0" xfId="1" applyFont="1" applyFill="1" applyBorder="1" applyAlignment="1" applyProtection="1">
      <alignment horizontal="left"/>
    </xf>
    <xf numFmtId="164" fontId="1" fillId="0" borderId="0" xfId="1" applyFont="1" applyBorder="1" applyAlignment="1" applyProtection="1">
      <alignment horizontal="left"/>
    </xf>
    <xf numFmtId="176" fontId="1" fillId="0" borderId="0" xfId="0" applyNumberFormat="1" applyFont="1"/>
    <xf numFmtId="0" fontId="1" fillId="12" borderId="0" xfId="0" applyFont="1" applyFill="1"/>
    <xf numFmtId="169" fontId="1" fillId="12" borderId="0" xfId="0" applyNumberFormat="1" applyFont="1" applyFill="1"/>
    <xf numFmtId="169" fontId="2" fillId="12" borderId="0" xfId="0" applyNumberFormat="1" applyFont="1" applyFill="1"/>
    <xf numFmtId="176" fontId="1" fillId="12" borderId="0" xfId="0" applyNumberFormat="1" applyFont="1" applyFill="1"/>
    <xf numFmtId="176" fontId="1" fillId="3" borderId="0" xfId="0" applyNumberFormat="1" applyFont="1" applyFill="1"/>
    <xf numFmtId="169" fontId="1" fillId="3" borderId="0" xfId="0" applyNumberFormat="1" applyFont="1" applyFill="1"/>
    <xf numFmtId="169" fontId="2" fillId="3" borderId="0" xfId="0" applyNumberFormat="1" applyFont="1" applyFill="1"/>
    <xf numFmtId="0" fontId="17" fillId="0" borderId="0" xfId="0" applyFont="1"/>
    <xf numFmtId="0" fontId="8" fillId="0" borderId="0" xfId="0" applyFont="1" applyAlignment="1">
      <alignment horizontal="left" vertical="top"/>
    </xf>
    <xf numFmtId="169" fontId="8" fillId="0" borderId="0" xfId="1" applyNumberFormat="1" applyFont="1" applyBorder="1" applyAlignment="1" applyProtection="1">
      <alignment horizontal="left" vertical="top"/>
    </xf>
    <xf numFmtId="169" fontId="1" fillId="0" borderId="0" xfId="1" applyNumberFormat="1" applyFont="1" applyBorder="1" applyAlignment="1" applyProtection="1">
      <alignment horizontal="left" vertical="top"/>
    </xf>
    <xf numFmtId="169" fontId="1" fillId="0" borderId="0" xfId="0" applyNumberFormat="1" applyFont="1" applyAlignment="1">
      <alignment horizontal="left" vertical="top"/>
    </xf>
    <xf numFmtId="169" fontId="4" fillId="0" borderId="0" xfId="1" applyNumberFormat="1" applyFont="1" applyBorder="1" applyProtection="1"/>
    <xf numFmtId="169" fontId="8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169" fontId="1" fillId="3" borderId="0" xfId="1" applyNumberFormat="1" applyFont="1" applyFill="1" applyBorder="1" applyAlignment="1" applyProtection="1">
      <alignment horizontal="left" vertical="top"/>
    </xf>
    <xf numFmtId="169" fontId="4" fillId="12" borderId="0" xfId="1" applyNumberFormat="1" applyFont="1" applyFill="1" applyBorder="1" applyProtection="1"/>
    <xf numFmtId="169" fontId="4" fillId="3" borderId="0" xfId="1" applyNumberFormat="1" applyFont="1" applyFill="1" applyBorder="1" applyProtection="1"/>
    <xf numFmtId="0" fontId="1" fillId="14" borderId="0" xfId="0" applyFont="1" applyFill="1"/>
    <xf numFmtId="164" fontId="1" fillId="14" borderId="0" xfId="1" applyFont="1" applyFill="1" applyBorder="1" applyProtection="1"/>
    <xf numFmtId="164" fontId="16" fillId="14" borderId="0" xfId="1" applyFont="1" applyFill="1" applyBorder="1" applyProtection="1"/>
    <xf numFmtId="164" fontId="16" fillId="0" borderId="0" xfId="1" applyFont="1" applyBorder="1" applyProtection="1"/>
    <xf numFmtId="174" fontId="4" fillId="3" borderId="0" xfId="3" applyFont="1" applyFill="1" applyBorder="1" applyProtection="1"/>
    <xf numFmtId="0" fontId="2" fillId="14" borderId="0" xfId="0" applyFont="1" applyFill="1"/>
    <xf numFmtId="164" fontId="2" fillId="14" borderId="0" xfId="1" applyFont="1" applyFill="1" applyBorder="1" applyProtection="1"/>
    <xf numFmtId="164" fontId="19" fillId="14" borderId="0" xfId="1" applyFont="1" applyFill="1" applyBorder="1" applyProtection="1"/>
    <xf numFmtId="0" fontId="20" fillId="0" borderId="0" xfId="0" applyFont="1"/>
    <xf numFmtId="164" fontId="20" fillId="0" borderId="0" xfId="0" applyNumberFormat="1" applyFont="1"/>
    <xf numFmtId="0" fontId="7" fillId="15" borderId="0" xfId="0" applyFont="1" applyFill="1" applyBorder="1" applyAlignment="1">
      <alignment wrapText="1"/>
    </xf>
    <xf numFmtId="0" fontId="4" fillId="15" borderId="0" xfId="0" applyFont="1" applyFill="1" applyAlignment="1">
      <alignment horizontal="center"/>
    </xf>
    <xf numFmtId="0" fontId="1" fillId="15" borderId="0" xfId="0" applyFont="1" applyFill="1" applyAlignment="1">
      <alignment horizontal="center"/>
    </xf>
    <xf numFmtId="166" fontId="1" fillId="15" borderId="0" xfId="0" applyNumberFormat="1" applyFont="1" applyFill="1" applyAlignment="1">
      <alignment horizontal="center"/>
    </xf>
    <xf numFmtId="167" fontId="1" fillId="15" borderId="0" xfId="1" applyNumberFormat="1" applyFont="1" applyFill="1" applyBorder="1" applyAlignment="1" applyProtection="1">
      <alignment horizontal="right"/>
    </xf>
    <xf numFmtId="0" fontId="1" fillId="15" borderId="0" xfId="0" applyFont="1" applyFill="1" applyAlignment="1">
      <alignment horizontal="left" vertical="center"/>
    </xf>
    <xf numFmtId="0" fontId="4" fillId="15" borderId="0" xfId="0" applyFont="1" applyFill="1" applyBorder="1"/>
    <xf numFmtId="165" fontId="1" fillId="15" borderId="0" xfId="0" applyNumberFormat="1" applyFont="1" applyFill="1" applyAlignment="1">
      <alignment horizontal="center"/>
    </xf>
    <xf numFmtId="0" fontId="1" fillId="15" borderId="0" xfId="0" applyFont="1" applyFill="1" applyAlignment="1">
      <alignment horizontal="center" wrapText="1"/>
    </xf>
    <xf numFmtId="0" fontId="1" fillId="16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2" fillId="2" borderId="0" xfId="1" applyFont="1" applyFill="1" applyBorder="1" applyAlignment="1" applyProtection="1">
      <alignment horizontal="center"/>
    </xf>
    <xf numFmtId="164" fontId="2" fillId="2" borderId="0" xfId="1" applyFont="1" applyFill="1" applyBorder="1" applyAlignment="1" applyProtection="1">
      <alignment horizontal="center" vertical="center"/>
    </xf>
    <xf numFmtId="164" fontId="2" fillId="3" borderId="0" xfId="1" applyFont="1" applyFill="1" applyBorder="1" applyAlignment="1" applyProtection="1">
      <alignment horizontal="center"/>
    </xf>
    <xf numFmtId="164" fontId="2" fillId="3" borderId="0" xfId="1" applyFont="1" applyFill="1" applyBorder="1" applyAlignment="1" applyProtection="1">
      <alignment horizontal="center" vertical="center" wrapText="1"/>
    </xf>
    <xf numFmtId="164" fontId="2" fillId="4" borderId="0" xfId="1" applyFont="1" applyFill="1" applyBorder="1" applyAlignment="1" applyProtection="1">
      <alignment horizontal="center"/>
    </xf>
    <xf numFmtId="164" fontId="2" fillId="3" borderId="0" xfId="1" applyFont="1" applyFill="1" applyBorder="1" applyAlignment="1" applyProtection="1">
      <alignment horizontal="center" vertical="center"/>
    </xf>
    <xf numFmtId="164" fontId="2" fillId="4" borderId="0" xfId="1" applyFont="1" applyFill="1" applyBorder="1" applyAlignment="1" applyProtection="1">
      <alignment horizontal="center" vertical="center"/>
    </xf>
    <xf numFmtId="0" fontId="2" fillId="4" borderId="0" xfId="1" applyNumberFormat="1" applyFont="1" applyFill="1" applyBorder="1" applyAlignment="1" applyProtection="1">
      <alignment horizontal="center"/>
    </xf>
    <xf numFmtId="164" fontId="2" fillId="4" borderId="0" xfId="1" applyFont="1" applyFill="1" applyBorder="1" applyAlignment="1" applyProtection="1">
      <alignment horizontal="center" wrapText="1"/>
    </xf>
    <xf numFmtId="164" fontId="2" fillId="5" borderId="0" xfId="1" applyFont="1" applyFill="1" applyBorder="1" applyAlignment="1" applyProtection="1">
      <alignment horizontal="center" vertical="center" wrapText="1"/>
    </xf>
    <xf numFmtId="0" fontId="2" fillId="7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164" fontId="2" fillId="6" borderId="0" xfId="1" applyFont="1" applyFill="1" applyBorder="1" applyAlignment="1" applyProtection="1">
      <alignment horizontal="center" vertical="center"/>
    </xf>
    <xf numFmtId="164" fontId="2" fillId="6" borderId="0" xfId="1" applyFont="1" applyFill="1" applyBorder="1" applyAlignment="1" applyProtection="1">
      <alignment horizontal="center" vertical="center" wrapText="1"/>
    </xf>
    <xf numFmtId="164" fontId="2" fillId="8" borderId="0" xfId="1" applyFont="1" applyFill="1" applyBorder="1" applyAlignment="1" applyProtection="1">
      <alignment horizontal="center" vertical="center"/>
    </xf>
    <xf numFmtId="164" fontId="2" fillId="6" borderId="0" xfId="1" applyFont="1" applyFill="1" applyBorder="1" applyAlignment="1" applyProtection="1">
      <alignment horizontal="center"/>
    </xf>
    <xf numFmtId="164" fontId="2" fillId="0" borderId="0" xfId="1" applyFont="1" applyBorder="1" applyAlignment="1" applyProtection="1">
      <alignment horizontal="center"/>
    </xf>
    <xf numFmtId="164" fontId="2" fillId="9" borderId="0" xfId="1" applyFont="1" applyFill="1" applyBorder="1" applyAlignment="1" applyProtection="1">
      <alignment horizontal="center" vertical="center"/>
    </xf>
    <xf numFmtId="164" fontId="2" fillId="9" borderId="0" xfId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2" fillId="11" borderId="0" xfId="1" applyFont="1" applyFill="1" applyBorder="1" applyAlignment="1" applyProtection="1">
      <alignment horizontal="center" vertical="center"/>
    </xf>
    <xf numFmtId="0" fontId="2" fillId="11" borderId="0" xfId="1" applyNumberFormat="1" applyFont="1" applyFill="1" applyBorder="1" applyAlignment="1" applyProtection="1">
      <alignment horizontal="center"/>
    </xf>
    <xf numFmtId="0" fontId="2" fillId="5" borderId="2" xfId="0" applyFont="1" applyFill="1" applyBorder="1" applyAlignment="1">
      <alignment horizontal="center" vertical="center"/>
    </xf>
    <xf numFmtId="164" fontId="2" fillId="8" borderId="0" xfId="1" applyFont="1" applyFill="1" applyBorder="1" applyAlignment="1" applyProtection="1">
      <alignment horizontal="center"/>
    </xf>
    <xf numFmtId="164" fontId="8" fillId="13" borderId="0" xfId="1" applyFont="1" applyFill="1" applyBorder="1" applyAlignment="1" applyProtection="1">
      <alignment horizontal="left" vertical="center"/>
    </xf>
    <xf numFmtId="164" fontId="8" fillId="13" borderId="0" xfId="1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/>
    </xf>
  </cellXfs>
  <cellStyles count="4">
    <cellStyle name="Moeda" xfId="2" builtinId="4"/>
    <cellStyle name="Normal" xfId="0" builtinId="0"/>
    <cellStyle name="Texto Explicativo" xfId="3" builtinId="53" customBuiltin="1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E181E"/>
      <rgbColor rgb="FF008000"/>
      <rgbColor rgb="FF000080"/>
      <rgbColor rgb="FF996600"/>
      <rgbColor rgb="FF990099"/>
      <rgbColor rgb="FF4D84B6"/>
      <rgbColor rgb="FFBFBFBF"/>
      <rgbColor rgb="FF8B8B8B"/>
      <rgbColor rgb="FF8FAADC"/>
      <rgbColor rgb="FFBE4B48"/>
      <rgbColor rgb="FFFFFFCC"/>
      <rgbColor rgb="FFADC5E7"/>
      <rgbColor rgb="FF660066"/>
      <rgbColor rgb="FFCA6B29"/>
      <rgbColor rgb="FF4A7EBB"/>
      <rgbColor rgb="FFBDD7EE"/>
      <rgbColor rgb="FF000080"/>
      <rgbColor rgb="FFFF00FF"/>
      <rgbColor rgb="FFFFFF00"/>
      <rgbColor rgb="FF00FFFF"/>
      <rgbColor rgb="FF800080"/>
      <rgbColor rgb="FFC55A11"/>
      <rgbColor rgb="FF558ED5"/>
      <rgbColor rgb="FF0000FF"/>
      <rgbColor rgb="FF00CCFF"/>
      <rgbColor rgb="FFCCFFFF"/>
      <rgbColor rgb="FFD9D9D9"/>
      <rgbColor rgb="FFFFFF99"/>
      <rgbColor rgb="FF9DC3E6"/>
      <rgbColor rgb="FFFF99CC"/>
      <rgbColor rgb="FFA6A6A6"/>
      <rgbColor rgb="FFFBE5D6"/>
      <rgbColor rgb="FF2E75B6"/>
      <rgbColor rgb="FF5B9BD5"/>
      <rgbColor rgb="FF70AD47"/>
      <rgbColor rgb="FFFFCC00"/>
      <rgbColor rgb="FFBF9000"/>
      <rgbColor rgb="FFED7D31"/>
      <rgbColor rgb="FF595959"/>
      <rgbColor rgb="FF8D8D8D"/>
      <rgbColor rgb="FF003366"/>
      <rgbColor rgb="FF548235"/>
      <rgbColor rgb="FF003300"/>
      <rgbColor rgb="FF333300"/>
      <rgbColor rgb="FFAF5C24"/>
      <rgbColor rgb="FF7030A0"/>
      <rgbColor rgb="FF325491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 rot="0"/>
          <a:lstStyle/>
          <a:p>
            <a:pPr>
              <a:defRPr sz="800" b="1" strike="noStrike" spc="-1">
                <a:solidFill>
                  <a:srgbClr val="000000"/>
                </a:solidFill>
                <a:latin typeface="Calibri"/>
              </a:defRPr>
            </a:pPr>
            <a:r>
              <a:rPr sz="800" b="1" strike="noStrike" spc="-1">
                <a:solidFill>
                  <a:srgbClr val="000000"/>
                </a:solidFill>
                <a:latin typeface="Calibri"/>
              </a:rPr>
              <a:t>Quantidade de ARTs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noFill/>
        <a:ln w="6480">
          <a:solidFill>
            <a:srgbClr val="8B8B8B"/>
          </a:solidFill>
          <a:round/>
        </a:ln>
      </c:spPr>
    </c:floor>
    <c:sideWall>
      <c:thickness val="0"/>
      <c:spPr>
        <a:noFill/>
        <a:ln w="6480">
          <a:solidFill>
            <a:srgbClr val="8B8B8B"/>
          </a:solidFill>
          <a:round/>
        </a:ln>
      </c:spPr>
    </c:sideWall>
    <c:backWall>
      <c:thickness val="0"/>
      <c:spPr>
        <a:noFill/>
        <a:ln w="6480">
          <a:solidFill>
            <a:srgbClr val="8B8B8B"/>
          </a:solidFill>
          <a:round/>
        </a:ln>
      </c:spPr>
    </c:backWall>
    <c:plotArea>
      <c:layout>
        <c:manualLayout>
          <c:layoutTarget val="inner"/>
          <c:xMode val="edge"/>
          <c:yMode val="edge"/>
          <c:x val="5.25852585258526E-2"/>
          <c:y val="0.125607779578606"/>
          <c:w val="0.89108910891089099"/>
          <c:h val="0.512965964343597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Comparativos!$A$1</c:f>
              <c:strCache>
                <c:ptCount val="1"/>
              </c:strCache>
            </c:strRef>
          </c:tx>
          <c:spPr>
            <a:solidFill>
              <a:srgbClr val="2E75B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Comparativos!$A$6:$A$17</c:f>
              <c:strCache>
                <c:ptCount val="12"/>
                <c:pt idx="0">
                  <c:v>JAN </c:v>
                </c:pt>
                <c:pt idx="1">
                  <c:v>FEV </c:v>
                </c:pt>
                <c:pt idx="2">
                  <c:v>MAR </c:v>
                </c:pt>
                <c:pt idx="3">
                  <c:v>ABR </c:v>
                </c:pt>
                <c:pt idx="4">
                  <c:v>MAIO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OUT </c:v>
                </c:pt>
                <c:pt idx="10">
                  <c:v>NOV </c:v>
                </c:pt>
                <c:pt idx="11">
                  <c:v>DEZ </c:v>
                </c:pt>
              </c:strCache>
            </c:strRef>
          </c:cat>
          <c:val>
            <c:numRef>
              <c:f>Comparativos!$B$6:$B$17</c:f>
              <c:numCache>
                <c:formatCode>* #,##0\ ;* \(#,##0\);* \-#\ ;@\ </c:formatCode>
                <c:ptCount val="12"/>
                <c:pt idx="0">
                  <c:v>3383</c:v>
                </c:pt>
                <c:pt idx="1">
                  <c:v>2934</c:v>
                </c:pt>
                <c:pt idx="2">
                  <c:v>3594</c:v>
                </c:pt>
                <c:pt idx="3">
                  <c:v>3357</c:v>
                </c:pt>
                <c:pt idx="4">
                  <c:v>3284</c:v>
                </c:pt>
                <c:pt idx="5">
                  <c:v>4184</c:v>
                </c:pt>
                <c:pt idx="6">
                  <c:v>4403</c:v>
                </c:pt>
                <c:pt idx="7">
                  <c:v>4628</c:v>
                </c:pt>
                <c:pt idx="8">
                  <c:v>3933</c:v>
                </c:pt>
                <c:pt idx="9">
                  <c:v>4063</c:v>
                </c:pt>
                <c:pt idx="10">
                  <c:v>3752</c:v>
                </c:pt>
                <c:pt idx="11">
                  <c:v>3615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9E-4FD3-ABA8-BBAA3C21159F}"/>
            </c:ext>
          </c:extLst>
        </c:ser>
        <c:ser>
          <c:idx val="1"/>
          <c:order val="1"/>
          <c:tx>
            <c:strRef>
              <c:f>Comparativos!$A$1</c:f>
              <c:strCache>
                <c:ptCount val="1"/>
              </c:strCache>
            </c:strRef>
          </c:tx>
          <c:spPr>
            <a:solidFill>
              <a:srgbClr val="C55A11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Comparativos!$A$6:$A$17</c:f>
              <c:strCache>
                <c:ptCount val="12"/>
                <c:pt idx="0">
                  <c:v>JAN </c:v>
                </c:pt>
                <c:pt idx="1">
                  <c:v>FEV </c:v>
                </c:pt>
                <c:pt idx="2">
                  <c:v>MAR </c:v>
                </c:pt>
                <c:pt idx="3">
                  <c:v>ABR </c:v>
                </c:pt>
                <c:pt idx="4">
                  <c:v>MAIO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OUT </c:v>
                </c:pt>
                <c:pt idx="10">
                  <c:v>NOV </c:v>
                </c:pt>
                <c:pt idx="11">
                  <c:v>DEZ </c:v>
                </c:pt>
              </c:strCache>
            </c:strRef>
          </c:cat>
          <c:val>
            <c:numRef>
              <c:f>Comparativos!$D$6:$D$17</c:f>
              <c:numCache>
                <c:formatCode>* #,##0\ ;* \(#,##0\);* \-#\ ;@\ </c:formatCode>
                <c:ptCount val="12"/>
                <c:pt idx="0">
                  <c:v>3071</c:v>
                </c:pt>
                <c:pt idx="1">
                  <c:v>3667</c:v>
                </c:pt>
                <c:pt idx="2">
                  <c:v>3118</c:v>
                </c:pt>
                <c:pt idx="3">
                  <c:v>3498</c:v>
                </c:pt>
                <c:pt idx="4">
                  <c:v>3981</c:v>
                </c:pt>
                <c:pt idx="5">
                  <c:v>3433</c:v>
                </c:pt>
                <c:pt idx="6">
                  <c:v>4246</c:v>
                </c:pt>
                <c:pt idx="7">
                  <c:v>4023</c:v>
                </c:pt>
                <c:pt idx="8">
                  <c:v>4004</c:v>
                </c:pt>
                <c:pt idx="9">
                  <c:v>4131</c:v>
                </c:pt>
                <c:pt idx="10">
                  <c:v>4040</c:v>
                </c:pt>
                <c:pt idx="11">
                  <c:v>2160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9E-4FD3-ABA8-BBAA3C211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40837"/>
        <c:axId val="8124982"/>
        <c:axId val="0"/>
      </c:bar3DChart>
      <c:catAx>
        <c:axId val="4294083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800" b="0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8124982"/>
        <c:crosses val="autoZero"/>
        <c:auto val="1"/>
        <c:lblAlgn val="ctr"/>
        <c:lblOffset val="100"/>
        <c:noMultiLvlLbl val="1"/>
      </c:catAx>
      <c:valAx>
        <c:axId val="8124982"/>
        <c:scaling>
          <c:orientation val="minMax"/>
        </c:scaling>
        <c:delete val="1"/>
        <c:axPos val="l"/>
        <c:numFmt formatCode="* #,##0\ ;* \(#,##0\);* \-#\ ;@\ " sourceLinked="0"/>
        <c:majorTickMark val="none"/>
        <c:minorTickMark val="none"/>
        <c:tickLblPos val="none"/>
        <c:crossAx val="42940837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pt-BR"/>
        </a:p>
      </c:txPr>
    </c:legend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Comparativos!$A$1</c:f>
              <c:strCache>
                <c:ptCount val="1"/>
              </c:strCache>
            </c:strRef>
          </c:tx>
          <c:spPr>
            <a:ln w="28440">
              <a:solidFill>
                <a:srgbClr val="4A7EBB"/>
              </a:solidFill>
              <a:round/>
            </a:ln>
          </c:spPr>
          <c:marker>
            <c:symbol val="square"/>
            <c:size val="5"/>
            <c:spPr>
              <a:solidFill>
                <a:srgbClr val="4A7EBB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Multas!$B$3:$B$14</c:f>
              <c:numCache>
                <c:formatCode>#,##0.00</c:formatCode>
                <c:ptCount val="12"/>
                <c:pt idx="0">
                  <c:v>10138.93</c:v>
                </c:pt>
                <c:pt idx="1">
                  <c:v>21961.07</c:v>
                </c:pt>
                <c:pt idx="2">
                  <c:v>12220.54</c:v>
                </c:pt>
                <c:pt idx="3">
                  <c:v>16422.689999999999</c:v>
                </c:pt>
                <c:pt idx="4">
                  <c:v>39579.68</c:v>
                </c:pt>
                <c:pt idx="5">
                  <c:v>21459.71</c:v>
                </c:pt>
                <c:pt idx="6">
                  <c:v>13165.26</c:v>
                </c:pt>
                <c:pt idx="7">
                  <c:v>24543.279999999999</c:v>
                </c:pt>
                <c:pt idx="8">
                  <c:v>23211.119999999999</c:v>
                </c:pt>
                <c:pt idx="9">
                  <c:v>24314.31</c:v>
                </c:pt>
                <c:pt idx="10">
                  <c:v>28079.78</c:v>
                </c:pt>
                <c:pt idx="11">
                  <c:v>18110.53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EF-4C4C-8A50-92D5522789F8}"/>
            </c:ext>
          </c:extLst>
        </c:ser>
        <c:ser>
          <c:idx val="1"/>
          <c:order val="1"/>
          <c:tx>
            <c:strRef>
              <c:f>Comparativos!$A$1</c:f>
              <c:strCache>
                <c:ptCount val="1"/>
              </c:strCache>
            </c:strRef>
          </c:tx>
          <c:spPr>
            <a:ln w="28440">
              <a:solidFill>
                <a:srgbClr val="BE4B48"/>
              </a:solidFill>
              <a:round/>
            </a:ln>
          </c:spPr>
          <c:marker>
            <c:symbol val="square"/>
            <c:size val="5"/>
            <c:spPr>
              <a:solidFill>
                <a:srgbClr val="BE4B48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Multas!$C$3:$C$14</c:f>
              <c:numCache>
                <c:formatCode>#,##0.00</c:formatCode>
                <c:ptCount val="12"/>
                <c:pt idx="0">
                  <c:v>21853.77</c:v>
                </c:pt>
                <c:pt idx="1">
                  <c:v>22848.15</c:v>
                </c:pt>
                <c:pt idx="2">
                  <c:v>31034.71</c:v>
                </c:pt>
                <c:pt idx="3">
                  <c:v>16067.17</c:v>
                </c:pt>
                <c:pt idx="4">
                  <c:v>44762.400000000001</c:v>
                </c:pt>
                <c:pt idx="5">
                  <c:v>30736.02</c:v>
                </c:pt>
                <c:pt idx="6">
                  <c:v>42326.2</c:v>
                </c:pt>
                <c:pt idx="7">
                  <c:v>34632.46</c:v>
                </c:pt>
                <c:pt idx="8">
                  <c:v>18477.009999999998</c:v>
                </c:pt>
                <c:pt idx="9">
                  <c:v>61182.51</c:v>
                </c:pt>
                <c:pt idx="10">
                  <c:v>70310.36</c:v>
                </c:pt>
                <c:pt idx="11">
                  <c:v>61583.25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EF-4C4C-8A50-92D552278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93842723"/>
        <c:axId val="95673926"/>
      </c:lineChart>
      <c:catAx>
        <c:axId val="9384272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5673926"/>
        <c:crosses val="autoZero"/>
        <c:auto val="1"/>
        <c:lblAlgn val="ctr"/>
        <c:lblOffset val="100"/>
        <c:noMultiLvlLbl val="1"/>
      </c:catAx>
      <c:valAx>
        <c:axId val="95673926"/>
        <c:scaling>
          <c:orientation val="minMax"/>
        </c:scaling>
        <c:delete val="1"/>
        <c:axPos val="l"/>
        <c:numFmt formatCode="#,##0.00" sourceLinked="0"/>
        <c:majorTickMark val="out"/>
        <c:minorTickMark val="none"/>
        <c:tickLblPos val="none"/>
        <c:crossAx val="93842723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pt-BR"/>
        </a:p>
      </c:txPr>
    </c:legend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Comparativos!$A$1</c:f>
              <c:strCache>
                <c:ptCount val="1"/>
              </c:strCache>
            </c:strRef>
          </c:tx>
          <c:spPr>
            <a:ln w="28440">
              <a:solidFill>
                <a:srgbClr val="4A7EBB"/>
              </a:solidFill>
              <a:round/>
            </a:ln>
          </c:spPr>
          <c:marker>
            <c:symbol val="square"/>
            <c:size val="5"/>
            <c:spPr>
              <a:solidFill>
                <a:srgbClr val="4A7EBB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Multas!$B$20:$B$31</c:f>
              <c:numCache>
                <c:formatCode>* #,##0.00\ ;* \(#,##0.00\);* \-#\ ;@\ </c:formatCode>
                <c:ptCount val="12"/>
                <c:pt idx="0">
                  <c:v>21853.77</c:v>
                </c:pt>
                <c:pt idx="1">
                  <c:v>22848.15</c:v>
                </c:pt>
                <c:pt idx="2">
                  <c:v>31034.71</c:v>
                </c:pt>
                <c:pt idx="3">
                  <c:v>16067.17</c:v>
                </c:pt>
                <c:pt idx="4">
                  <c:v>44762.400000000001</c:v>
                </c:pt>
                <c:pt idx="5">
                  <c:v>30736.02</c:v>
                </c:pt>
                <c:pt idx="6">
                  <c:v>42326.2</c:v>
                </c:pt>
                <c:pt idx="7">
                  <c:v>34632.46</c:v>
                </c:pt>
                <c:pt idx="8">
                  <c:v>18477.009999999998</c:v>
                </c:pt>
                <c:pt idx="9">
                  <c:v>61182.51</c:v>
                </c:pt>
                <c:pt idx="10">
                  <c:v>70310.36</c:v>
                </c:pt>
                <c:pt idx="11">
                  <c:v>61583.25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B0-48CD-8124-4E4024C561B5}"/>
            </c:ext>
          </c:extLst>
        </c:ser>
        <c:ser>
          <c:idx val="1"/>
          <c:order val="1"/>
          <c:tx>
            <c:strRef>
              <c:f>Comparativos!$A$1</c:f>
              <c:strCache>
                <c:ptCount val="1"/>
              </c:strCache>
            </c:strRef>
          </c:tx>
          <c:spPr>
            <a:ln w="28440">
              <a:solidFill>
                <a:srgbClr val="BE4B48"/>
              </a:solidFill>
              <a:round/>
            </a:ln>
          </c:spPr>
          <c:marker>
            <c:symbol val="square"/>
            <c:size val="5"/>
            <c:spPr>
              <a:solidFill>
                <a:srgbClr val="BE4B48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Multas!$C$20:$C$31</c:f>
              <c:numCache>
                <c:formatCode>#,##0.00</c:formatCode>
                <c:ptCount val="12"/>
                <c:pt idx="0">
                  <c:v>59213.7</c:v>
                </c:pt>
                <c:pt idx="1">
                  <c:v>42412.29</c:v>
                </c:pt>
                <c:pt idx="2">
                  <c:v>63578.97</c:v>
                </c:pt>
                <c:pt idx="3">
                  <c:v>-146973.95000000001</c:v>
                </c:pt>
                <c:pt idx="4" formatCode="* #,##0.00\ ;* \(#,##0.00\);* \-#\ ;@\ ">
                  <c:v>57832.89</c:v>
                </c:pt>
                <c:pt idx="5" formatCode="* #,##0.00\ ;* \(#,##0.00\);* \-#\ ;@\ ">
                  <c:v>39523.599999999999</c:v>
                </c:pt>
                <c:pt idx="6" formatCode="* #,##0.00\ ;* \(#,##0.00\);* \-#\ ;@\ ">
                  <c:v>30575.21</c:v>
                </c:pt>
                <c:pt idx="7" formatCode="* #,##0.00\ ;* \(#,##0.00\);* \-#\ ;@\ ">
                  <c:v>27986.26</c:v>
                </c:pt>
                <c:pt idx="8" formatCode="* #,##0.00\ ;* \(#,##0.00\);* \-#\ ;@\ ">
                  <c:v>24609.35</c:v>
                </c:pt>
                <c:pt idx="9" formatCode="* #,##0.00\ ;* \(#,##0.00\);* \-#\ ;@\ ">
                  <c:v>51953.279999999999</c:v>
                </c:pt>
                <c:pt idx="10" formatCode="* #,##0.00\ ;* \(#,##0.00\);* \-#\ ;@\ ">
                  <c:v>30000.85</c:v>
                </c:pt>
                <c:pt idx="11" formatCode="* #,##0.00\ ;* \(#,##0.00\);* \-#\ ;@\ ">
                  <c:v>40027.93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B0-48CD-8124-4E4024C56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35780768"/>
        <c:axId val="36170894"/>
      </c:lineChart>
      <c:catAx>
        <c:axId val="35780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6170894"/>
        <c:crosses val="autoZero"/>
        <c:auto val="1"/>
        <c:lblAlgn val="ctr"/>
        <c:lblOffset val="100"/>
        <c:noMultiLvlLbl val="1"/>
      </c:catAx>
      <c:valAx>
        <c:axId val="36170894"/>
        <c:scaling>
          <c:orientation val="minMax"/>
        </c:scaling>
        <c:delete val="1"/>
        <c:axPos val="l"/>
        <c:numFmt formatCode="* #,##0.00\ ;* \(#,##0.00\);* \-#\ ;@\ " sourceLinked="0"/>
        <c:majorTickMark val="out"/>
        <c:minorTickMark val="none"/>
        <c:tickLblPos val="none"/>
        <c:crossAx val="35780768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pt-BR"/>
        </a:p>
      </c:txPr>
    </c:legend>
    <c:plotVisOnly val="1"/>
    <c:dispBlanksAs val="gap"/>
    <c:showDLblsOverMax val="1"/>
  </c:chart>
  <c:spPr>
    <a:noFill/>
    <a:ln w="9360"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Comparativos!$A$1</c:f>
              <c:strCache>
                <c:ptCount val="1"/>
              </c:strCache>
            </c:strRef>
          </c:tx>
          <c:spPr>
            <a:ln w="28440">
              <a:solidFill>
                <a:srgbClr val="5B9BD5"/>
              </a:solidFill>
              <a:round/>
            </a:ln>
          </c:spPr>
          <c:marker>
            <c:symbol val="circle"/>
            <c:size val="5"/>
            <c:spPr>
              <a:solidFill>
                <a:srgbClr val="5B9BD5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Multas!$B$38:$B$49</c:f>
              <c:numCache>
                <c:formatCode>* #,##0.00\ ;* \(#,##0.00\);* \-#\ ;@\ </c:formatCode>
                <c:ptCount val="12"/>
                <c:pt idx="0">
                  <c:v>59213.7</c:v>
                </c:pt>
                <c:pt idx="1">
                  <c:v>42412.29</c:v>
                </c:pt>
                <c:pt idx="2">
                  <c:v>63578.97</c:v>
                </c:pt>
                <c:pt idx="3">
                  <c:v>-146973.95000000001</c:v>
                </c:pt>
                <c:pt idx="4">
                  <c:v>57832.89</c:v>
                </c:pt>
                <c:pt idx="5">
                  <c:v>39523.599999999999</c:v>
                </c:pt>
                <c:pt idx="6">
                  <c:v>30575.21</c:v>
                </c:pt>
                <c:pt idx="7">
                  <c:v>27986.26</c:v>
                </c:pt>
                <c:pt idx="8">
                  <c:v>24609.35</c:v>
                </c:pt>
                <c:pt idx="9">
                  <c:v>51953.279999999999</c:v>
                </c:pt>
                <c:pt idx="10">
                  <c:v>30000.85</c:v>
                </c:pt>
                <c:pt idx="11">
                  <c:v>40027.93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15-4FD8-A14B-019885A14B76}"/>
            </c:ext>
          </c:extLst>
        </c:ser>
        <c:ser>
          <c:idx val="1"/>
          <c:order val="1"/>
          <c:tx>
            <c:strRef>
              <c:f>Comparativos!$A$1</c:f>
              <c:strCache>
                <c:ptCount val="1"/>
              </c:strCache>
            </c:strRef>
          </c:tx>
          <c:spPr>
            <a:ln w="28440">
              <a:solidFill>
                <a:srgbClr val="ED7D31"/>
              </a:solidFill>
              <a:round/>
            </a:ln>
          </c:spPr>
          <c:marker>
            <c:symbol val="circle"/>
            <c:size val="5"/>
            <c:spPr>
              <a:solidFill>
                <a:srgbClr val="ED7D31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Multas!$C$38:$C$49</c:f>
              <c:numCache>
                <c:formatCode>#,##0.00</c:formatCode>
                <c:ptCount val="12"/>
                <c:pt idx="0">
                  <c:v>45864.42</c:v>
                </c:pt>
                <c:pt idx="1">
                  <c:v>31794.39</c:v>
                </c:pt>
                <c:pt idx="2">
                  <c:v>25859.5</c:v>
                </c:pt>
                <c:pt idx="3">
                  <c:v>20933.03</c:v>
                </c:pt>
                <c:pt idx="4" formatCode="* #,##0.00\ ;* \(#,##0.00\);* \-#\ ;@\ ">
                  <c:v>9356.6299999999992</c:v>
                </c:pt>
                <c:pt idx="5" formatCode="* #,##0.00\ ;* \(#,##0.00\);* \-#\ ;@\ ">
                  <c:v>17154.64</c:v>
                </c:pt>
                <c:pt idx="6" formatCode="* #,##0.00\ ;* \(#,##0.00\);* \-#\ ;@\ ">
                  <c:v>15316.94</c:v>
                </c:pt>
                <c:pt idx="7" formatCode="* #,##0.00\ ;* \(#,##0.00\);* \-#\ ;@\ ">
                  <c:v>9201.1299999999992</c:v>
                </c:pt>
                <c:pt idx="8" formatCode="* #,##0.00\ ;* \(#,##0.00\);* \-#\ ;@\ ">
                  <c:v>14941.47</c:v>
                </c:pt>
                <c:pt idx="9" formatCode="* #,##0.00\ ;* \(#,##0.00\);* \-#\ ;@\ ">
                  <c:v>8377.6299999999992</c:v>
                </c:pt>
                <c:pt idx="10" formatCode="* #,##0.00\ ;* \(#,##0.00\);* \-#\ ;@\ ">
                  <c:v>8316.2999999999993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15-4FD8-A14B-019885A14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22194617"/>
        <c:axId val="3177076"/>
      </c:lineChart>
      <c:catAx>
        <c:axId val="2219461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177076"/>
        <c:crosses val="autoZero"/>
        <c:auto val="1"/>
        <c:lblAlgn val="ctr"/>
        <c:lblOffset val="100"/>
        <c:noMultiLvlLbl val="1"/>
      </c:catAx>
      <c:valAx>
        <c:axId val="3177076"/>
        <c:scaling>
          <c:orientation val="minMax"/>
        </c:scaling>
        <c:delete val="1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* #,##0.00\ ;* \(#,##0.00\);* \-#\ ;@\ " sourceLinked="0"/>
        <c:majorTickMark val="none"/>
        <c:minorTickMark val="none"/>
        <c:tickLblPos val="none"/>
        <c:crossAx val="22194617"/>
        <c:crosses val="autoZero"/>
        <c:crossBetween val="midCat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pt-BR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 rot="0"/>
          <a:lstStyle/>
          <a:p>
            <a:pPr>
              <a:defRPr sz="1400" b="0" strike="noStrike" spc="-1">
                <a:solidFill>
                  <a:srgbClr val="595959"/>
                </a:solidFill>
                <a:latin typeface="Calibri"/>
              </a:defRPr>
            </a:pPr>
            <a:r>
              <a:rPr sz="1400" b="0" strike="noStrike" spc="-1">
                <a:solidFill>
                  <a:srgbClr val="595959"/>
                </a:solidFill>
                <a:latin typeface="Calibri"/>
              </a:rPr>
              <a:t>Quantidade de ARTs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noFill/>
        <a:ln w="6480">
          <a:noFill/>
        </a:ln>
      </c:spPr>
    </c:floor>
    <c:sideWall>
      <c:thickness val="0"/>
      <c:spPr>
        <a:noFill/>
        <a:ln w="6480">
          <a:noFill/>
        </a:ln>
      </c:spPr>
    </c:sideWall>
    <c:backWall>
      <c:thickness val="0"/>
      <c:spPr>
        <a:noFill/>
        <a:ln w="648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0</c:f>
              <c:numCache>
                <c:formatCode>General</c:formatCode>
                <c:ptCount val="12"/>
                <c:pt idx="0">
                  <c:v>3071</c:v>
                </c:pt>
                <c:pt idx="1">
                  <c:v>3662</c:v>
                </c:pt>
                <c:pt idx="2">
                  <c:v>3114</c:v>
                </c:pt>
                <c:pt idx="3">
                  <c:v>3496</c:v>
                </c:pt>
                <c:pt idx="4">
                  <c:v>3974</c:v>
                </c:pt>
                <c:pt idx="5">
                  <c:v>3433</c:v>
                </c:pt>
                <c:pt idx="6">
                  <c:v>4246</c:v>
                </c:pt>
                <c:pt idx="7">
                  <c:v>4023</c:v>
                </c:pt>
                <c:pt idx="8">
                  <c:v>4004</c:v>
                </c:pt>
                <c:pt idx="9">
                  <c:v>4131</c:v>
                </c:pt>
                <c:pt idx="10">
                  <c:v>4040</c:v>
                </c:pt>
                <c:pt idx="11">
                  <c:v>3900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categories</c15:sqref>
                        </c15:formulaRef>
                      </c:ext>
                    </c:extLst>
                    <c:strCach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31B1-4815-AF2C-106730ED090E}"/>
            </c:ext>
          </c:extLst>
        </c:ser>
        <c:ser>
          <c:idx val="1"/>
          <c:order val="1"/>
          <c:spPr>
            <a:solidFill>
              <a:srgbClr val="ED7D31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1</c:f>
              <c:numCache>
                <c:formatCode>General</c:formatCode>
                <c:ptCount val="12"/>
                <c:pt idx="0">
                  <c:v>3810</c:v>
                </c:pt>
                <c:pt idx="1">
                  <c:v>3650</c:v>
                </c:pt>
                <c:pt idx="2">
                  <c:v>3589</c:v>
                </c:pt>
                <c:pt idx="3">
                  <c:v>2450</c:v>
                </c:pt>
                <c:pt idx="4">
                  <c:v>2734</c:v>
                </c:pt>
                <c:pt idx="5">
                  <c:v>3297</c:v>
                </c:pt>
                <c:pt idx="6">
                  <c:v>4143</c:v>
                </c:pt>
                <c:pt idx="7">
                  <c:v>4278</c:v>
                </c:pt>
                <c:pt idx="8">
                  <c:v>4351</c:v>
                </c:pt>
                <c:pt idx="9">
                  <c:v>4228</c:v>
                </c:pt>
                <c:pt idx="10">
                  <c:v>4410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categories</c15:sqref>
                        </c15:formulaRef>
                      </c:ext>
                    </c:extLst>
                    <c:strCach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31B1-4815-AF2C-106730ED0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9004"/>
        <c:axId val="63735856"/>
        <c:axId val="0"/>
      </c:bar3DChart>
      <c:catAx>
        <c:axId val="13190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pt-BR"/>
          </a:p>
        </c:txPr>
        <c:crossAx val="63735856"/>
        <c:crosses val="autoZero"/>
        <c:auto val="1"/>
        <c:lblAlgn val="ctr"/>
        <c:lblOffset val="100"/>
        <c:noMultiLvlLbl val="1"/>
      </c:catAx>
      <c:valAx>
        <c:axId val="63735856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* #,##0\ ;* \(#,##0\);* \-#\ ;@\ 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pt-BR"/>
          </a:p>
        </c:txPr>
        <c:crossAx val="131900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pt-BR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 rot="0"/>
          <a:lstStyle/>
          <a:p>
            <a:pPr>
              <a:defRPr sz="1400" b="0" strike="noStrike" spc="-1">
                <a:solidFill>
                  <a:srgbClr val="595959"/>
                </a:solidFill>
                <a:latin typeface="Calibri"/>
              </a:defRPr>
            </a:pPr>
            <a:r>
              <a:rPr sz="1400" b="0" strike="noStrike" spc="-1">
                <a:solidFill>
                  <a:srgbClr val="595959"/>
                </a:solidFill>
                <a:latin typeface="Calibri"/>
              </a:rPr>
              <a:t>Valores de ARTs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noFill/>
        <a:ln w="6480">
          <a:noFill/>
        </a:ln>
      </c:spPr>
    </c:floor>
    <c:sideWall>
      <c:thickness val="0"/>
      <c:spPr>
        <a:noFill/>
        <a:ln w="6480">
          <a:noFill/>
        </a:ln>
      </c:spPr>
    </c:sideWall>
    <c:backWall>
      <c:thickness val="0"/>
      <c:spPr>
        <a:noFill/>
        <a:ln w="648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0</c:f>
              <c:numCache>
                <c:formatCode>General</c:formatCode>
                <c:ptCount val="12"/>
                <c:pt idx="0">
                  <c:v>280663.53999999998</c:v>
                </c:pt>
                <c:pt idx="1">
                  <c:v>336361.73</c:v>
                </c:pt>
                <c:pt idx="2">
                  <c:v>281104.27</c:v>
                </c:pt>
                <c:pt idx="3">
                  <c:v>312785.94</c:v>
                </c:pt>
                <c:pt idx="4">
                  <c:v>358622.32</c:v>
                </c:pt>
                <c:pt idx="5">
                  <c:v>311248.7</c:v>
                </c:pt>
                <c:pt idx="6">
                  <c:v>383587.72</c:v>
                </c:pt>
                <c:pt idx="7">
                  <c:v>363210.93</c:v>
                </c:pt>
                <c:pt idx="8">
                  <c:v>360703.14</c:v>
                </c:pt>
                <c:pt idx="9">
                  <c:v>341363.94</c:v>
                </c:pt>
                <c:pt idx="10">
                  <c:v>316181.03000000003</c:v>
                </c:pt>
                <c:pt idx="11">
                  <c:v>349091.25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categories</c15:sqref>
                        </c15:formulaRef>
                      </c:ext>
                    </c:extLst>
                    <c:strCach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1DED-4A6C-A1B8-F954E5750620}"/>
            </c:ext>
          </c:extLst>
        </c:ser>
        <c:ser>
          <c:idx val="1"/>
          <c:order val="1"/>
          <c:spPr>
            <a:solidFill>
              <a:srgbClr val="ED7D31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1</c:f>
              <c:numCache>
                <c:formatCode>General</c:formatCode>
                <c:ptCount val="12"/>
                <c:pt idx="0">
                  <c:v>365985.27</c:v>
                </c:pt>
                <c:pt idx="1">
                  <c:v>330336.56</c:v>
                </c:pt>
                <c:pt idx="2">
                  <c:v>319260.49</c:v>
                </c:pt>
                <c:pt idx="3">
                  <c:v>222923.6</c:v>
                </c:pt>
                <c:pt idx="4">
                  <c:v>248798.85</c:v>
                </c:pt>
                <c:pt idx="5">
                  <c:v>286178.67</c:v>
                </c:pt>
                <c:pt idx="6">
                  <c:v>374990.53</c:v>
                </c:pt>
                <c:pt idx="7">
                  <c:v>401660.12</c:v>
                </c:pt>
                <c:pt idx="8">
                  <c:v>406291.21</c:v>
                </c:pt>
                <c:pt idx="9">
                  <c:v>385771.1</c:v>
                </c:pt>
                <c:pt idx="10">
                  <c:v>406667.17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categories</c15:sqref>
                        </c15:formulaRef>
                      </c:ext>
                    </c:extLst>
                    <c:strCach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1DED-4A6C-A1B8-F954E5750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087507"/>
        <c:axId val="4083214"/>
        <c:axId val="0"/>
      </c:bar3DChart>
      <c:catAx>
        <c:axId val="620875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pt-BR"/>
          </a:p>
        </c:txPr>
        <c:crossAx val="4083214"/>
        <c:crosses val="autoZero"/>
        <c:auto val="1"/>
        <c:lblAlgn val="ctr"/>
        <c:lblOffset val="100"/>
        <c:noMultiLvlLbl val="1"/>
      </c:catAx>
      <c:valAx>
        <c:axId val="4083214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* #,##0.00\ ;* \(#,##0.00\);* \-#\ ;@\ 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pt-BR"/>
          </a:p>
        </c:txPr>
        <c:crossAx val="62087507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pt-BR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680">
              <a:solidFill>
                <a:srgbClr val="70AD47"/>
              </a:solidFill>
              <a:round/>
            </a:ln>
          </c:spPr>
          <c:marker>
            <c:symbol val="circle"/>
            <c:size val="17"/>
            <c:spPr>
              <a:solidFill>
                <a:srgbClr val="70AD47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LRFiscal!$A$100:$A$110</c:f>
              <c:strCache>
                <c:ptCount val="11"/>
                <c:pt idx="0">
                  <c:v>fev/2019 a jan/2020</c:v>
                </c:pt>
                <c:pt idx="1">
                  <c:v>mar/2019 a fev/2020</c:v>
                </c:pt>
                <c:pt idx="2">
                  <c:v>abr/2019 a mar/2020</c:v>
                </c:pt>
                <c:pt idx="3">
                  <c:v>maio/2019 a abr/2020</c:v>
                </c:pt>
                <c:pt idx="4">
                  <c:v>Jun/2019 a maio/2020</c:v>
                </c:pt>
                <c:pt idx="5">
                  <c:v>jul/2019 a jun/2020</c:v>
                </c:pt>
                <c:pt idx="6">
                  <c:v>ago/2019 a jul/2020</c:v>
                </c:pt>
                <c:pt idx="7">
                  <c:v>set/2019 a ago/2020</c:v>
                </c:pt>
                <c:pt idx="8">
                  <c:v>out/2019 a set/2020</c:v>
                </c:pt>
                <c:pt idx="9">
                  <c:v>nov/2019 a out/2020</c:v>
                </c:pt>
                <c:pt idx="10">
                  <c:v>dez/2019 a nov/2020</c:v>
                </c:pt>
              </c:strCache>
            </c:strRef>
          </c:cat>
          <c:val>
            <c:numRef>
              <c:f>LRFiscal!$G$100:$G$110</c:f>
              <c:numCache>
                <c:formatCode>* #,##0.00\ ;* \(#,##0.00\);* \-#\ ;@\ </c:formatCode>
                <c:ptCount val="11"/>
                <c:pt idx="0">
                  <c:v>57.774131041648502</c:v>
                </c:pt>
                <c:pt idx="1">
                  <c:v>59.513844922966705</c:v>
                </c:pt>
                <c:pt idx="2">
                  <c:v>57.932704804520121</c:v>
                </c:pt>
                <c:pt idx="3">
                  <c:v>61.325292835984612</c:v>
                </c:pt>
                <c:pt idx="4">
                  <c:v>64.434480833994201</c:v>
                </c:pt>
                <c:pt idx="5">
                  <c:v>65.846539000463366</c:v>
                </c:pt>
                <c:pt idx="6">
                  <c:v>62.861265028349422</c:v>
                </c:pt>
                <c:pt idx="7">
                  <c:v>64.542044826285888</c:v>
                </c:pt>
                <c:pt idx="8">
                  <c:v>62.188236297990798</c:v>
                </c:pt>
                <c:pt idx="9">
                  <c:v>61.26389795141759</c:v>
                </c:pt>
                <c:pt idx="10">
                  <c:v>62.620887427395544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F3-4ACF-B8B5-C6BB8E793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84952010"/>
        <c:axId val="95074540"/>
      </c:lineChart>
      <c:catAx>
        <c:axId val="8495201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9080">
            <a:solidFill>
              <a:srgbClr val="404040"/>
            </a:solidFill>
            <a:round/>
          </a:ln>
        </c:spPr>
        <c:txPr>
          <a:bodyPr/>
          <a:lstStyle/>
          <a:p>
            <a:pPr>
              <a:defRPr sz="700" b="1" strike="noStrike" spc="-1">
                <a:solidFill>
                  <a:srgbClr val="404040"/>
                </a:solidFill>
                <a:latin typeface="Calibri"/>
              </a:defRPr>
            </a:pPr>
            <a:endParaRPr lang="pt-BR"/>
          </a:p>
        </c:txPr>
        <c:crossAx val="95074540"/>
        <c:crosses val="autoZero"/>
        <c:auto val="1"/>
        <c:lblAlgn val="ctr"/>
        <c:lblOffset val="100"/>
        <c:noMultiLvlLbl val="1"/>
      </c:catAx>
      <c:valAx>
        <c:axId val="95074540"/>
        <c:scaling>
          <c:orientation val="minMax"/>
        </c:scaling>
        <c:delete val="1"/>
        <c:axPos val="l"/>
        <c:majorGridlines>
          <c:spPr>
            <a:ln w="9360">
              <a:solidFill>
                <a:srgbClr val="BFBFBF"/>
              </a:solidFill>
              <a:round/>
            </a:ln>
          </c:spPr>
        </c:majorGridlines>
        <c:numFmt formatCode="* #,##0.00\ ;* \(#,##0.00\);* \-#\ ;@\ " sourceLinked="0"/>
        <c:majorTickMark val="none"/>
        <c:minorTickMark val="none"/>
        <c:tickLblPos val="nextTo"/>
        <c:crossAx val="84952010"/>
        <c:crosses val="autoZero"/>
        <c:crossBetween val="midCat"/>
      </c:valAx>
      <c:spPr>
        <a:noFill/>
        <a:ln>
          <a:noFill/>
        </a:ln>
      </c:spPr>
    </c:plotArea>
    <c:plotVisOnly val="1"/>
    <c:dispBlanksAs val="gap"/>
    <c:showDLblsOverMax val="1"/>
  </c:chart>
  <c:spPr>
    <a:noFill/>
    <a:ln w="9360">
      <a:solidFill>
        <a:srgbClr val="BFBFBF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 rot="0"/>
          <a:lstStyle/>
          <a:p>
            <a:pPr>
              <a:defRPr sz="800" b="1" strike="noStrike" spc="-1">
                <a:solidFill>
                  <a:srgbClr val="000000"/>
                </a:solidFill>
                <a:latin typeface="Calibri"/>
              </a:defRPr>
            </a:pPr>
            <a:r>
              <a:rPr sz="800" b="1" strike="noStrike" spc="-1">
                <a:solidFill>
                  <a:srgbClr val="000000"/>
                </a:solidFill>
                <a:latin typeface="Calibri"/>
              </a:rPr>
              <a:t>Valores de ARTs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noFill/>
        <a:ln w="6480">
          <a:solidFill>
            <a:srgbClr val="8B8B8B"/>
          </a:solidFill>
          <a:round/>
        </a:ln>
      </c:spPr>
    </c:floor>
    <c:sideWall>
      <c:thickness val="0"/>
      <c:spPr>
        <a:noFill/>
        <a:ln w="6480">
          <a:solidFill>
            <a:srgbClr val="8B8B8B"/>
          </a:solidFill>
          <a:round/>
        </a:ln>
      </c:spPr>
    </c:sideWall>
    <c:backWall>
      <c:thickness val="0"/>
      <c:spPr>
        <a:noFill/>
        <a:ln w="6480">
          <a:solidFill>
            <a:srgbClr val="8B8B8B"/>
          </a:solidFill>
          <a:round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Comparativos!$A$1</c:f>
              <c:strCache>
                <c:ptCount val="1"/>
              </c:strCache>
            </c:strRef>
          </c:tx>
          <c:spPr>
            <a:solidFill>
              <a:srgbClr val="2E75B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Comparativos!$A$6:$A$17</c:f>
              <c:strCache>
                <c:ptCount val="12"/>
                <c:pt idx="0">
                  <c:v>JAN </c:v>
                </c:pt>
                <c:pt idx="1">
                  <c:v>FEV </c:v>
                </c:pt>
                <c:pt idx="2">
                  <c:v>MAR </c:v>
                </c:pt>
                <c:pt idx="3">
                  <c:v>ABR </c:v>
                </c:pt>
                <c:pt idx="4">
                  <c:v>MAIO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OUT </c:v>
                </c:pt>
                <c:pt idx="10">
                  <c:v>NOV </c:v>
                </c:pt>
                <c:pt idx="11">
                  <c:v>DEZ </c:v>
                </c:pt>
              </c:strCache>
            </c:strRef>
          </c:cat>
          <c:val>
            <c:numRef>
              <c:f>Comparativos!$C$6:$C$17</c:f>
              <c:numCache>
                <c:formatCode>* #,##0.00\ ;* \(#,##0.00\);* \-#\ ;@\ </c:formatCode>
                <c:ptCount val="12"/>
                <c:pt idx="0">
                  <c:v>308739.98</c:v>
                </c:pt>
                <c:pt idx="1">
                  <c:v>268083.76</c:v>
                </c:pt>
                <c:pt idx="2">
                  <c:v>334866.01</c:v>
                </c:pt>
                <c:pt idx="3">
                  <c:v>300114.59000000003</c:v>
                </c:pt>
                <c:pt idx="4">
                  <c:v>271477.59000000003</c:v>
                </c:pt>
                <c:pt idx="5">
                  <c:v>374951.44</c:v>
                </c:pt>
                <c:pt idx="6">
                  <c:v>365314.03</c:v>
                </c:pt>
                <c:pt idx="7">
                  <c:v>395195.77</c:v>
                </c:pt>
                <c:pt idx="8">
                  <c:v>330336</c:v>
                </c:pt>
                <c:pt idx="9">
                  <c:v>341363.94</c:v>
                </c:pt>
                <c:pt idx="10">
                  <c:v>316181.03000000003</c:v>
                </c:pt>
                <c:pt idx="11">
                  <c:v>298943.06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AC-4B38-9F62-1382B4C2B001}"/>
            </c:ext>
          </c:extLst>
        </c:ser>
        <c:ser>
          <c:idx val="1"/>
          <c:order val="1"/>
          <c:tx>
            <c:strRef>
              <c:f>Comparativos!$A$1</c:f>
              <c:strCache>
                <c:ptCount val="1"/>
              </c:strCache>
            </c:strRef>
          </c:tx>
          <c:spPr>
            <a:solidFill>
              <a:srgbClr val="C55A11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Comparativos!$A$6:$A$17</c:f>
              <c:strCache>
                <c:ptCount val="12"/>
                <c:pt idx="0">
                  <c:v>JAN </c:v>
                </c:pt>
                <c:pt idx="1">
                  <c:v>FEV </c:v>
                </c:pt>
                <c:pt idx="2">
                  <c:v>MAR </c:v>
                </c:pt>
                <c:pt idx="3">
                  <c:v>ABR </c:v>
                </c:pt>
                <c:pt idx="4">
                  <c:v>MAIO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OUT </c:v>
                </c:pt>
                <c:pt idx="10">
                  <c:v>NOV </c:v>
                </c:pt>
                <c:pt idx="11">
                  <c:v>DEZ </c:v>
                </c:pt>
              </c:strCache>
            </c:strRef>
          </c:cat>
          <c:val>
            <c:numRef>
              <c:f>Comparativos!$E$6:$E$17</c:f>
              <c:numCache>
                <c:formatCode>* #,##0.00\ ;* \(#,##0.00\);* \-#\ ;@\ </c:formatCode>
                <c:ptCount val="12"/>
                <c:pt idx="0">
                  <c:v>280663.53999999998</c:v>
                </c:pt>
                <c:pt idx="1">
                  <c:v>336361.73</c:v>
                </c:pt>
                <c:pt idx="2">
                  <c:v>281104.27</c:v>
                </c:pt>
                <c:pt idx="3">
                  <c:v>312785.94</c:v>
                </c:pt>
                <c:pt idx="4">
                  <c:v>348099.79</c:v>
                </c:pt>
                <c:pt idx="5">
                  <c:v>311402.71999999997</c:v>
                </c:pt>
                <c:pt idx="6">
                  <c:v>383587.72</c:v>
                </c:pt>
                <c:pt idx="7">
                  <c:v>363210.93</c:v>
                </c:pt>
                <c:pt idx="8">
                  <c:v>360703.14</c:v>
                </c:pt>
                <c:pt idx="9">
                  <c:v>374599.11</c:v>
                </c:pt>
                <c:pt idx="10">
                  <c:v>365822.02</c:v>
                </c:pt>
                <c:pt idx="11">
                  <c:v>187931.58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AC-4B38-9F62-1382B4C2B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570651"/>
        <c:axId val="27218043"/>
        <c:axId val="0"/>
      </c:bar3DChart>
      <c:catAx>
        <c:axId val="645706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800" b="0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27218043"/>
        <c:crosses val="autoZero"/>
        <c:auto val="1"/>
        <c:lblAlgn val="ctr"/>
        <c:lblOffset val="100"/>
        <c:noMultiLvlLbl val="1"/>
      </c:catAx>
      <c:valAx>
        <c:axId val="27218043"/>
        <c:scaling>
          <c:orientation val="minMax"/>
        </c:scaling>
        <c:delete val="1"/>
        <c:axPos val="l"/>
        <c:numFmt formatCode="* #,##0.00\ ;* \(#,##0.00\);* \-#\ ;@\ " sourceLinked="0"/>
        <c:majorTickMark val="none"/>
        <c:minorTickMark val="none"/>
        <c:tickLblPos val="none"/>
        <c:crossAx val="64570651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pt-BR"/>
        </a:p>
      </c:txPr>
    </c:legend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 rot="0"/>
          <a:lstStyle/>
          <a:p>
            <a:pPr>
              <a:defRPr sz="1200" b="1" u="sng" strike="noStrike" spc="-1">
                <a:solidFill>
                  <a:srgbClr val="000000"/>
                </a:solidFill>
                <a:uFillTx/>
                <a:latin typeface="Calibri"/>
              </a:defRPr>
            </a:pPr>
            <a:r>
              <a:rPr sz="1200" b="1" u="sng" strike="noStrike" spc="-1">
                <a:solidFill>
                  <a:srgbClr val="000000"/>
                </a:solidFill>
                <a:uFillTx/>
                <a:latin typeface="Calibri"/>
              </a:rPr>
              <a:t>RECEITA ACUMULADA - JAN A NOV/2020
</a:t>
            </a:r>
          </a:p>
        </c:rich>
      </c:tx>
      <c:layout>
        <c:manualLayout>
          <c:xMode val="edge"/>
          <c:yMode val="edge"/>
          <c:x val="0.31091848820932499"/>
          <c:y val="1.2345679012345699E-2"/>
        </c:manualLayout>
      </c:layout>
      <c:overlay val="0"/>
    </c:title>
    <c:autoTitleDeleted val="0"/>
    <c:view3D>
      <c:rotX val="15"/>
      <c:rotY val="20"/>
      <c:rAngAx val="0"/>
      <c:perspective val="20"/>
    </c:view3D>
    <c:floor>
      <c:thickness val="0"/>
      <c:spPr>
        <a:solidFill>
          <a:srgbClr val="D9D9D9"/>
        </a:solidFill>
        <a:ln>
          <a:noFill/>
        </a:ln>
      </c:spPr>
    </c:floor>
    <c:sideWall>
      <c:thickness val="0"/>
      <c:spPr>
        <a:solidFill>
          <a:srgbClr val="D9D9D9"/>
        </a:solidFill>
        <a:ln>
          <a:noFill/>
        </a:ln>
      </c:spPr>
    </c:sideWall>
    <c:backWall>
      <c:thickness val="0"/>
      <c:spPr>
        <a:solidFill>
          <a:srgbClr val="D9D9D9"/>
        </a:solidFill>
        <a:ln>
          <a:noFill/>
        </a:ln>
      </c:spPr>
    </c:backWall>
    <c:plotArea>
      <c:layout/>
      <c:pie3DChart>
        <c:varyColors val="1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dPt>
            <c:idx val="0"/>
            <c:bubble3D val="0"/>
            <c:spPr>
              <a:solidFill>
                <a:srgbClr val="FFFFCC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A3BA-43A1-AABF-1EB61093265C}"/>
              </c:ext>
            </c:extLst>
          </c:dPt>
          <c:dPt>
            <c:idx val="1"/>
            <c:bubble3D val="0"/>
            <c:spPr>
              <a:solidFill>
                <a:srgbClr val="AF5C2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A3BA-43A1-AABF-1EB61093265C}"/>
              </c:ext>
            </c:extLst>
          </c:dPt>
          <c:dPt>
            <c:idx val="2"/>
            <c:bubble3D val="0"/>
            <c:spPr>
              <a:solidFill>
                <a:srgbClr val="548235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A3BA-43A1-AABF-1EB61093265C}"/>
              </c:ext>
            </c:extLst>
          </c:dPt>
          <c:dPt>
            <c:idx val="3"/>
            <c:bubble3D val="0"/>
            <c:spPr>
              <a:solidFill>
                <a:srgbClr val="990099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A3BA-43A1-AABF-1EB61093265C}"/>
              </c:ext>
            </c:extLst>
          </c:dPt>
          <c:dPt>
            <c:idx val="4"/>
            <c:bubble3D val="0"/>
            <c:spPr>
              <a:solidFill>
                <a:srgbClr val="32549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A3BA-43A1-AABF-1EB61093265C}"/>
              </c:ext>
            </c:extLst>
          </c:dPt>
          <c:dPt>
            <c:idx val="5"/>
            <c:bubble3D val="0"/>
            <c:spPr>
              <a:solidFill>
                <a:srgbClr val="9966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A3BA-43A1-AABF-1EB61093265C}"/>
              </c:ext>
            </c:extLst>
          </c:dPt>
          <c:dPt>
            <c:idx val="6"/>
            <c:bubble3D val="0"/>
            <c:spPr>
              <a:solidFill>
                <a:srgbClr val="BF9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A3BA-43A1-AABF-1EB61093265C}"/>
              </c:ext>
            </c:extLst>
          </c:dPt>
          <c:dPt>
            <c:idx val="7"/>
            <c:bubble3D val="0"/>
            <c:spPr>
              <a:solidFill>
                <a:srgbClr val="CA6B29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A3BA-43A1-AABF-1EB61093265C}"/>
              </c:ext>
            </c:extLst>
          </c:dPt>
          <c:dPt>
            <c:idx val="8"/>
            <c:bubble3D val="0"/>
            <c:spPr>
              <a:solidFill>
                <a:srgbClr val="8D8D8D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A3BA-43A1-AABF-1EB61093265C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1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Receitas!$A$5:$A$38</c:f>
              <c:strCache>
                <c:ptCount val="9"/>
                <c:pt idx="0">
                  <c:v>ART </c:v>
                </c:pt>
                <c:pt idx="1">
                  <c:v>ANUIDADES </c:v>
                </c:pt>
                <c:pt idx="2">
                  <c:v>SERVIÇOS </c:v>
                </c:pt>
                <c:pt idx="3">
                  <c:v>FINANCEIRAS </c:v>
                </c:pt>
                <c:pt idx="4">
                  <c:v>TRANSFERÊNCIAS CORRENTES </c:v>
                </c:pt>
                <c:pt idx="5">
                  <c:v>DÍVIDA ATIVA </c:v>
                </c:pt>
                <c:pt idx="6">
                  <c:v>MULTAS DE INFRAÇÕES </c:v>
                </c:pt>
                <c:pt idx="7">
                  <c:v>INDENIZAÇÕES E RESTITUIÇÕES </c:v>
                </c:pt>
                <c:pt idx="8">
                  <c:v>RECEITAS DE CAPITAL (B) </c:v>
                </c:pt>
              </c:strCache>
            </c:strRef>
          </c:cat>
          <c:val>
            <c:numRef>
              <c:f>Receitas!$C$5:$C$38</c:f>
              <c:numCache>
                <c:formatCode>* #,##0.00\ ;* \(#,##0.00\);* \-#\ ;@\ </c:formatCode>
                <c:ptCount val="9"/>
                <c:pt idx="0">
                  <c:v>3748865.46</c:v>
                </c:pt>
                <c:pt idx="1">
                  <c:v>6053019.9699999997</c:v>
                </c:pt>
                <c:pt idx="2">
                  <c:v>370327.1</c:v>
                </c:pt>
                <c:pt idx="3">
                  <c:v>410206.86</c:v>
                </c:pt>
                <c:pt idx="4">
                  <c:v>1471790.36</c:v>
                </c:pt>
                <c:pt idx="5">
                  <c:v>758190.25</c:v>
                </c:pt>
                <c:pt idx="6">
                  <c:v>207116.08</c:v>
                </c:pt>
                <c:pt idx="7">
                  <c:v>11804.17</c:v>
                </c:pt>
                <c:pt idx="8">
                  <c:v>190056.37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3BA-43A1-AABF-1EB610932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 rot="0"/>
          <a:lstStyle/>
          <a:p>
            <a:pPr>
              <a:defRPr sz="1400" b="1" strike="noStrike" spc="-1">
                <a:solidFill>
                  <a:srgbClr val="000000"/>
                </a:solidFill>
                <a:latin typeface="Calibri"/>
              </a:defRPr>
            </a:pPr>
            <a:r>
              <a:rPr sz="1400" b="1" strike="noStrike" spc="-1">
                <a:solidFill>
                  <a:srgbClr val="000000"/>
                </a:solidFill>
                <a:latin typeface="Calibri"/>
              </a:rPr>
              <a:t>DESPESA ACUMULADA - JAN a NOV/2020</a:t>
            </a:r>
          </a:p>
        </c:rich>
      </c:tx>
      <c:overlay val="0"/>
    </c:title>
    <c:autoTitleDeleted val="0"/>
    <c:view3D>
      <c:rotX val="15"/>
      <c:rotY val="20"/>
      <c:rAngAx val="0"/>
      <c:perspective val="20"/>
    </c:view3D>
    <c:floor>
      <c:thickness val="0"/>
      <c:spPr>
        <a:solidFill>
          <a:srgbClr val="D9D9D9"/>
        </a:solidFill>
        <a:ln>
          <a:noFill/>
        </a:ln>
      </c:spPr>
    </c:floor>
    <c:sideWall>
      <c:thickness val="0"/>
      <c:spPr>
        <a:solidFill>
          <a:srgbClr val="D9D9D9"/>
        </a:solidFill>
        <a:ln>
          <a:noFill/>
        </a:ln>
      </c:spPr>
    </c:sideWall>
    <c:backWall>
      <c:thickness val="0"/>
      <c:spPr>
        <a:solidFill>
          <a:srgbClr val="D9D9D9"/>
        </a:solidFill>
        <a:ln>
          <a:noFill/>
        </a:ln>
      </c:spPr>
    </c:backWall>
    <c:plotArea>
      <c:layout/>
      <c:pie3DChart>
        <c:varyColors val="1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dPt>
            <c:idx val="0"/>
            <c:bubble3D val="0"/>
            <c:spPr>
              <a:solidFill>
                <a:srgbClr val="FFFFCC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6BCE-4145-B251-E057BFC6AEDC}"/>
              </c:ext>
            </c:extLst>
          </c:dPt>
          <c:dPt>
            <c:idx val="1"/>
            <c:bubble3D val="0"/>
            <c:spPr>
              <a:solidFill>
                <a:srgbClr val="2E75B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6BCE-4145-B251-E057BFC6AEDC}"/>
              </c:ext>
            </c:extLst>
          </c:dPt>
          <c:dPt>
            <c:idx val="2"/>
            <c:bubble3D val="0"/>
            <c:spPr>
              <a:solidFill>
                <a:srgbClr val="548235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6BCE-4145-B251-E057BFC6AEDC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6BCE-4145-B251-E057BFC6AEDC}"/>
              </c:ext>
            </c:extLst>
          </c:dPt>
          <c:dPt>
            <c:idx val="4"/>
            <c:bubble3D val="0"/>
            <c:spPr>
              <a:solidFill>
                <a:srgbClr val="9DC3E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6BCE-4145-B251-E057BFC6AEDC}"/>
              </c:ext>
            </c:extLst>
          </c:dPt>
          <c:dPt>
            <c:idx val="5"/>
            <c:bubble3D val="0"/>
            <c:spPr>
              <a:solidFill>
                <a:srgbClr val="BF9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6BCE-4145-B251-E057BFC6AEDC}"/>
              </c:ext>
            </c:extLst>
          </c:dPt>
          <c:dPt>
            <c:idx val="6"/>
            <c:bubble3D val="0"/>
            <c:spPr>
              <a:solidFill>
                <a:srgbClr val="4D84B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6BCE-4145-B251-E057BFC6AEDC}"/>
              </c:ext>
            </c:extLst>
          </c:dPt>
          <c:dPt>
            <c:idx val="7"/>
            <c:bubble3D val="0"/>
            <c:spPr>
              <a:solidFill>
                <a:srgbClr val="C55A1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6BCE-4145-B251-E057BFC6AEDC}"/>
              </c:ext>
            </c:extLst>
          </c:dPt>
          <c:dLbls>
            <c:dLbl>
              <c:idx val="6"/>
              <c:dLblPos val="bestFit"/>
              <c:showLegendKey val="1"/>
              <c:showVal val="1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BCE-4145-B251-E057BFC6AEDC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1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Despesas!$A$5:$A$38</c:f>
              <c:strCache>
                <c:ptCount val="8"/>
                <c:pt idx="0">
                  <c:v> PESSOAL E ENCARGOS </c:v>
                </c:pt>
                <c:pt idx="1">
                  <c:v> OUTRAS DESPESAS CORRENTES </c:v>
                </c:pt>
                <c:pt idx="2">
                  <c:v> TRIBUTÁRIAS E CONTRIBUTIVAS </c:v>
                </c:pt>
                <c:pt idx="3">
                  <c:v> DEMAIS DESPESAS CORRENTES </c:v>
                </c:pt>
                <c:pt idx="4">
                  <c:v> SERVIÇOS BANCÁRIOS </c:v>
                </c:pt>
                <c:pt idx="5">
                  <c:v> TRANSFERÊNCIAS CORRENTES </c:v>
                </c:pt>
                <c:pt idx="6">
                  <c:v> RESERVAS DE CONTIGÊNCIA </c:v>
                </c:pt>
                <c:pt idx="7">
                  <c:v>DESPESAS DE CAPITAL/INVESTIMENTOS </c:v>
                </c:pt>
              </c:strCache>
            </c:strRef>
          </c:cat>
          <c:val>
            <c:numRef>
              <c:f>Despesas!$C$5:$C$38</c:f>
              <c:numCache>
                <c:formatCode>* #,##0.00\ ;* \(#,##0.00\);* \-#\ ;@\ </c:formatCode>
                <c:ptCount val="8"/>
                <c:pt idx="0">
                  <c:v>7756607.0199999996</c:v>
                </c:pt>
                <c:pt idx="1">
                  <c:v>2629522.15</c:v>
                </c:pt>
                <c:pt idx="2">
                  <c:v>37118.76</c:v>
                </c:pt>
                <c:pt idx="3">
                  <c:v>308599.5</c:v>
                </c:pt>
                <c:pt idx="4">
                  <c:v>205637.22</c:v>
                </c:pt>
                <c:pt idx="5">
                  <c:v>97939.82</c:v>
                </c:pt>
                <c:pt idx="6">
                  <c:v>0</c:v>
                </c:pt>
                <c:pt idx="7">
                  <c:v>207270.09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BCE-4145-B251-E057BFC6A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Comparativos!$A$1</c:f>
              <c:strCache>
                <c:ptCount val="1"/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'Receita x Despesa por origem'!$A$4:$A$10</c:f>
              <c:strCache>
                <c:ptCount val="7"/>
                <c:pt idx="0">
                  <c:v>Natal/Sede </c:v>
                </c:pt>
                <c:pt idx="1">
                  <c:v>IRM </c:v>
                </c:pt>
                <c:pt idx="2">
                  <c:v>IRC </c:v>
                </c:pt>
                <c:pt idx="3">
                  <c:v>IPF </c:v>
                </c:pt>
                <c:pt idx="4">
                  <c:v>ICN </c:v>
                </c:pt>
                <c:pt idx="5">
                  <c:v>IRA </c:v>
                </c:pt>
                <c:pt idx="6">
                  <c:v>IRMA </c:v>
                </c:pt>
              </c:strCache>
            </c:strRef>
          </c:cat>
          <c:val>
            <c:numRef>
              <c:f>'Receita x Despesa por origem'!$B$4:$B$10</c:f>
              <c:numCache>
                <c:formatCode>* #,##0.00\ ;\-* #,##0.00\ ;* \-#\ ;@\ </c:formatCode>
                <c:ptCount val="7"/>
                <c:pt idx="0">
                  <c:v>704268.26</c:v>
                </c:pt>
                <c:pt idx="1">
                  <c:v>122713.02</c:v>
                </c:pt>
                <c:pt idx="2">
                  <c:v>15920.71</c:v>
                </c:pt>
                <c:pt idx="3">
                  <c:v>27165.31</c:v>
                </c:pt>
                <c:pt idx="4">
                  <c:v>19539.93</c:v>
                </c:pt>
                <c:pt idx="5">
                  <c:v>20953.349999999999</c:v>
                </c:pt>
                <c:pt idx="6">
                  <c:v>5443.4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7-4727-8CA5-37E0DBF30EC6}"/>
            </c:ext>
          </c:extLst>
        </c:ser>
        <c:ser>
          <c:idx val="1"/>
          <c:order val="1"/>
          <c:tx>
            <c:strRef>
              <c:f>Comparativos!$A$1</c:f>
              <c:strCache>
                <c:ptCount val="1"/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'Receita x Despesa por origem'!$A$4:$A$10</c:f>
              <c:strCache>
                <c:ptCount val="7"/>
                <c:pt idx="0">
                  <c:v>Natal/Sede </c:v>
                </c:pt>
                <c:pt idx="1">
                  <c:v>IRM </c:v>
                </c:pt>
                <c:pt idx="2">
                  <c:v>IRC </c:v>
                </c:pt>
                <c:pt idx="3">
                  <c:v>IPF </c:v>
                </c:pt>
                <c:pt idx="4">
                  <c:v>ICN </c:v>
                </c:pt>
                <c:pt idx="5">
                  <c:v>IRA </c:v>
                </c:pt>
                <c:pt idx="6">
                  <c:v>IRMA </c:v>
                </c:pt>
              </c:strCache>
            </c:strRef>
          </c:cat>
          <c:val>
            <c:numRef>
              <c:f>'Receita x Despesa por origem'!$C$4:$C$10</c:f>
              <c:numCache>
                <c:formatCode>* #,##0.00\ ;\-* #,##0.00\ ;* \-#\ ;@\ </c:formatCode>
                <c:ptCount val="7"/>
                <c:pt idx="0">
                  <c:v>958351.8200000003</c:v>
                </c:pt>
                <c:pt idx="1">
                  <c:v>104252.48</c:v>
                </c:pt>
                <c:pt idx="2">
                  <c:v>58093.41</c:v>
                </c:pt>
                <c:pt idx="3">
                  <c:v>32724.78</c:v>
                </c:pt>
                <c:pt idx="4" formatCode="* #,##0.00\ ;* \(#,##0.00\);* \-#\ ;@\ ">
                  <c:v>24860.94</c:v>
                </c:pt>
                <c:pt idx="5">
                  <c:v>39237.86</c:v>
                </c:pt>
                <c:pt idx="6">
                  <c:v>23603.98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77-4727-8CA5-37E0DBF30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27951"/>
        <c:axId val="28187029"/>
      </c:barChart>
      <c:catAx>
        <c:axId val="891279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28187029"/>
        <c:crosses val="autoZero"/>
        <c:auto val="1"/>
        <c:lblAlgn val="ctr"/>
        <c:lblOffset val="100"/>
        <c:noMultiLvlLbl val="1"/>
      </c:catAx>
      <c:valAx>
        <c:axId val="28187029"/>
        <c:scaling>
          <c:orientation val="minMax"/>
        </c:scaling>
        <c:delete val="1"/>
        <c:axPos val="l"/>
        <c:numFmt formatCode="* #,##0.00\ ;* \(#,##0.00\);* \-#\ ;@\ " sourceLinked="0"/>
        <c:majorTickMark val="out"/>
        <c:minorTickMark val="none"/>
        <c:tickLblPos val="none"/>
        <c:crossAx val="89127951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pt-BR"/>
        </a:p>
      </c:txPr>
    </c:legend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Comparativos!$A$1</c:f>
              <c:strCache>
                <c:ptCount val="1"/>
              </c:strCache>
            </c:strRef>
          </c:tx>
          <c:spPr>
            <a:ln w="28440">
              <a:solidFill>
                <a:srgbClr val="4A7EBB"/>
              </a:solidFill>
              <a:round/>
            </a:ln>
          </c:spPr>
          <c:marker>
            <c:symbol val="square"/>
            <c:size val="5"/>
            <c:spPr>
              <a:solidFill>
                <a:srgbClr val="4A7EBB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'Dívida Ativa'!$B$3:$B$14</c:f>
              <c:numCache>
                <c:formatCode>#,##0.00</c:formatCode>
                <c:ptCount val="12"/>
                <c:pt idx="0">
                  <c:v>32429.13</c:v>
                </c:pt>
                <c:pt idx="1">
                  <c:v>38375.599999999999</c:v>
                </c:pt>
                <c:pt idx="2">
                  <c:v>42342.93</c:v>
                </c:pt>
                <c:pt idx="3">
                  <c:v>19604.87</c:v>
                </c:pt>
                <c:pt idx="4">
                  <c:v>32069.42</c:v>
                </c:pt>
                <c:pt idx="5">
                  <c:v>22136.53</c:v>
                </c:pt>
                <c:pt idx="6">
                  <c:v>14907.16</c:v>
                </c:pt>
                <c:pt idx="7">
                  <c:v>20734.96</c:v>
                </c:pt>
                <c:pt idx="8">
                  <c:v>54773.62</c:v>
                </c:pt>
                <c:pt idx="9">
                  <c:v>41116.300000000003</c:v>
                </c:pt>
                <c:pt idx="10">
                  <c:v>59335.05</c:v>
                </c:pt>
                <c:pt idx="11">
                  <c:v>28782.51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A9-471E-9E3A-5C748FE41723}"/>
            </c:ext>
          </c:extLst>
        </c:ser>
        <c:ser>
          <c:idx val="1"/>
          <c:order val="1"/>
          <c:tx>
            <c:strRef>
              <c:f>Comparativos!$A$1</c:f>
              <c:strCache>
                <c:ptCount val="1"/>
              </c:strCache>
            </c:strRef>
          </c:tx>
          <c:spPr>
            <a:ln w="28440">
              <a:solidFill>
                <a:srgbClr val="BE4B48"/>
              </a:solidFill>
              <a:round/>
            </a:ln>
          </c:spPr>
          <c:marker>
            <c:symbol val="square"/>
            <c:size val="5"/>
            <c:spPr>
              <a:solidFill>
                <a:srgbClr val="BE4B48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'Dívida Ativa'!$C$3:$C$14</c:f>
              <c:numCache>
                <c:formatCode>#,##0.00</c:formatCode>
                <c:ptCount val="12"/>
                <c:pt idx="0">
                  <c:v>40355.589999999997</c:v>
                </c:pt>
                <c:pt idx="1">
                  <c:v>44414.12</c:v>
                </c:pt>
                <c:pt idx="2">
                  <c:v>45465.760000000002</c:v>
                </c:pt>
                <c:pt idx="3">
                  <c:v>51566.94</c:v>
                </c:pt>
                <c:pt idx="4">
                  <c:v>66411.05</c:v>
                </c:pt>
                <c:pt idx="5">
                  <c:v>77092.649999999994</c:v>
                </c:pt>
                <c:pt idx="6">
                  <c:v>70899.42</c:v>
                </c:pt>
                <c:pt idx="7">
                  <c:v>89278.31</c:v>
                </c:pt>
                <c:pt idx="8">
                  <c:v>79349.789999999994</c:v>
                </c:pt>
                <c:pt idx="9">
                  <c:v>99739.23</c:v>
                </c:pt>
                <c:pt idx="10">
                  <c:v>16306.34</c:v>
                </c:pt>
                <c:pt idx="11">
                  <c:v>29169.56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A9-471E-9E3A-5C748FE41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65382625"/>
        <c:axId val="38063935"/>
      </c:lineChart>
      <c:catAx>
        <c:axId val="6538262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8063935"/>
        <c:crosses val="autoZero"/>
        <c:auto val="1"/>
        <c:lblAlgn val="ctr"/>
        <c:lblOffset val="100"/>
        <c:noMultiLvlLbl val="1"/>
      </c:catAx>
      <c:valAx>
        <c:axId val="38063935"/>
        <c:scaling>
          <c:orientation val="minMax"/>
        </c:scaling>
        <c:delete val="1"/>
        <c:axPos val="l"/>
        <c:numFmt formatCode="#,##0.00" sourceLinked="0"/>
        <c:majorTickMark val="out"/>
        <c:minorTickMark val="none"/>
        <c:tickLblPos val="none"/>
        <c:crossAx val="65382625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pt-BR"/>
        </a:p>
      </c:txPr>
    </c:legend>
    <c:plotVisOnly val="1"/>
    <c:dispBlanksAs val="gap"/>
    <c:showDLblsOverMax val="1"/>
  </c:chart>
  <c:spPr>
    <a:noFill/>
    <a:ln w="9360"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Comparativos!$A$1</c:f>
              <c:strCache>
                <c:ptCount val="1"/>
              </c:strCache>
            </c:strRef>
          </c:tx>
          <c:spPr>
            <a:ln w="28440">
              <a:solidFill>
                <a:srgbClr val="4A7EBB"/>
              </a:solidFill>
              <a:round/>
            </a:ln>
          </c:spPr>
          <c:marker>
            <c:symbol val="square"/>
            <c:size val="5"/>
            <c:spPr>
              <a:solidFill>
                <a:srgbClr val="4A7EBB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'Dívida Ativa'!$B$20:$B$31</c:f>
              <c:numCache>
                <c:formatCode>* #,##0.00\ ;* \(#,##0.00\);* \-#\ ;@\ </c:formatCode>
                <c:ptCount val="12"/>
                <c:pt idx="0">
                  <c:v>40355.589999999997</c:v>
                </c:pt>
                <c:pt idx="1">
                  <c:v>44414.12</c:v>
                </c:pt>
                <c:pt idx="2">
                  <c:v>45465.760000000002</c:v>
                </c:pt>
                <c:pt idx="3">
                  <c:v>51566.94</c:v>
                </c:pt>
                <c:pt idx="4">
                  <c:v>66411.05</c:v>
                </c:pt>
                <c:pt idx="5">
                  <c:v>77092.649999999994</c:v>
                </c:pt>
                <c:pt idx="6">
                  <c:v>70899.42</c:v>
                </c:pt>
                <c:pt idx="7">
                  <c:v>89278.31</c:v>
                </c:pt>
                <c:pt idx="8">
                  <c:v>79349.789999999994</c:v>
                </c:pt>
                <c:pt idx="9">
                  <c:v>99739.23</c:v>
                </c:pt>
                <c:pt idx="10">
                  <c:v>16306.34</c:v>
                </c:pt>
                <c:pt idx="11">
                  <c:v>29169.56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7E-4B08-BBD5-7A9AEDD74873}"/>
            </c:ext>
          </c:extLst>
        </c:ser>
        <c:ser>
          <c:idx val="1"/>
          <c:order val="1"/>
          <c:tx>
            <c:strRef>
              <c:f>Comparativos!$A$1</c:f>
              <c:strCache>
                <c:ptCount val="1"/>
              </c:strCache>
            </c:strRef>
          </c:tx>
          <c:spPr>
            <a:ln w="28440">
              <a:solidFill>
                <a:srgbClr val="BE4B48"/>
              </a:solidFill>
              <a:round/>
            </a:ln>
          </c:spPr>
          <c:marker>
            <c:symbol val="square"/>
            <c:size val="5"/>
            <c:spPr>
              <a:solidFill>
                <a:srgbClr val="BE4B48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'Dívida Ativa'!$C$20:$C$31</c:f>
              <c:numCache>
                <c:formatCode>* #,##0.00\ ;* \(#,##0.00\);* \-#\ ;@\ </c:formatCode>
                <c:ptCount val="12"/>
                <c:pt idx="0">
                  <c:v>17058.23</c:v>
                </c:pt>
                <c:pt idx="1">
                  <c:v>13465.4</c:v>
                </c:pt>
                <c:pt idx="2">
                  <c:v>19039.939999999999</c:v>
                </c:pt>
                <c:pt idx="3">
                  <c:v>258055.04000000001</c:v>
                </c:pt>
                <c:pt idx="4">
                  <c:v>119663.27</c:v>
                </c:pt>
                <c:pt idx="5">
                  <c:v>95828.98</c:v>
                </c:pt>
                <c:pt idx="6">
                  <c:v>111224.86</c:v>
                </c:pt>
                <c:pt idx="7">
                  <c:v>124220.38</c:v>
                </c:pt>
                <c:pt idx="8">
                  <c:v>91414.82</c:v>
                </c:pt>
                <c:pt idx="9">
                  <c:v>126349.11</c:v>
                </c:pt>
                <c:pt idx="10">
                  <c:v>54836.37</c:v>
                </c:pt>
                <c:pt idx="11">
                  <c:v>116391.02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7E-4B08-BBD5-7A9AEDD74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92997517"/>
        <c:axId val="7262705"/>
      </c:lineChart>
      <c:catAx>
        <c:axId val="9299751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262705"/>
        <c:crosses val="autoZero"/>
        <c:auto val="1"/>
        <c:lblAlgn val="ctr"/>
        <c:lblOffset val="100"/>
        <c:noMultiLvlLbl val="1"/>
      </c:catAx>
      <c:valAx>
        <c:axId val="7262705"/>
        <c:scaling>
          <c:orientation val="minMax"/>
        </c:scaling>
        <c:delete val="1"/>
        <c:axPos val="l"/>
        <c:numFmt formatCode="* #,##0.00\ ;* \(#,##0.00\);* \-#\ ;@\ " sourceLinked="0"/>
        <c:majorTickMark val="out"/>
        <c:minorTickMark val="none"/>
        <c:tickLblPos val="none"/>
        <c:crossAx val="92997517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pt-BR"/>
        </a:p>
      </c:txPr>
    </c:legend>
    <c:plotVisOnly val="1"/>
    <c:dispBlanksAs val="gap"/>
    <c:showDLblsOverMax val="1"/>
  </c:chart>
  <c:spPr>
    <a:noFill/>
    <a:ln w="9360"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sz="1800" b="1" strike="noStrike" spc="-1">
                <a:solidFill>
                  <a:srgbClr val="000000"/>
                </a:solidFill>
                <a:latin typeface="Calibri"/>
              </a:rPr>
              <a:t>Dívida Ativa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19080">
              <a:solidFill>
                <a:srgbClr val="5B9BD5"/>
              </a:solidFill>
              <a:round/>
            </a:ln>
          </c:spPr>
          <c:marker>
            <c:symbol val="square"/>
            <c:size val="5"/>
            <c:spPr>
              <a:solidFill>
                <a:srgbClr val="5B9BD5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'Dívida Ativa'!$N$2:$N$9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6D-40C3-9A30-25BC047952B7}"/>
            </c:ext>
          </c:extLst>
        </c:ser>
        <c:ser>
          <c:idx val="1"/>
          <c:order val="1"/>
          <c:spPr>
            <a:ln w="19080">
              <a:solidFill>
                <a:srgbClr val="ED7D31"/>
              </a:solidFill>
              <a:round/>
            </a:ln>
          </c:spPr>
          <c:marker>
            <c:symbol val="square"/>
            <c:size val="5"/>
            <c:spPr>
              <a:solidFill>
                <a:srgbClr val="ED7D31"/>
              </a:solidFill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6D-40C3-9A30-25BC047952B7}"/>
                </c:ext>
              </c:extLst>
            </c:dLbl>
            <c:dLbl>
              <c:idx val="1"/>
              <c:dLblPos val="t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6D-40C3-9A30-25BC047952B7}"/>
                </c:ext>
              </c:extLst>
            </c:dLbl>
            <c:dLbl>
              <c:idx val="2"/>
              <c:dLblPos val="t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6D-40C3-9A30-25BC047952B7}"/>
                </c:ext>
              </c:extLst>
            </c:dLbl>
            <c:dLbl>
              <c:idx val="3"/>
              <c:dLblPos val="t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6D-40C3-9A30-25BC047952B7}"/>
                </c:ext>
              </c:extLst>
            </c:dLbl>
            <c:dLbl>
              <c:idx val="4"/>
              <c:dLblPos val="t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6D-40C3-9A30-25BC047952B7}"/>
                </c:ext>
              </c:extLst>
            </c:dLbl>
            <c:dLbl>
              <c:idx val="5"/>
              <c:dLblPos val="t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36D-40C3-9A30-25BC047952B7}"/>
                </c:ext>
              </c:extLst>
            </c:dLbl>
            <c:dLbl>
              <c:idx val="6"/>
              <c:dLblPos val="t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36D-40C3-9A30-25BC047952B7}"/>
                </c:ext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'Dívida Ativa'!$O$2:$O$9</c:f>
              <c:numCache>
                <c:formatCode>* #,##0.00\ ;* \(#,##0.00\);* \-#\ ;@\ </c:formatCode>
                <c:ptCount val="8"/>
                <c:pt idx="0">
                  <c:v>550865.89</c:v>
                </c:pt>
                <c:pt idx="1">
                  <c:v>764874.09</c:v>
                </c:pt>
                <c:pt idx="2">
                  <c:v>685895.36</c:v>
                </c:pt>
                <c:pt idx="3">
                  <c:v>526139.29</c:v>
                </c:pt>
                <c:pt idx="4">
                  <c:v>406608.08</c:v>
                </c:pt>
                <c:pt idx="5">
                  <c:v>710048.76</c:v>
                </c:pt>
                <c:pt idx="6">
                  <c:v>1147547.42</c:v>
                </c:pt>
                <c:pt idx="7">
                  <c:v>758190.25000000012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36D-40C3-9A30-25BC04795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43670162"/>
        <c:axId val="32918820"/>
      </c:lineChart>
      <c:catAx>
        <c:axId val="4367016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32918820"/>
        <c:crosses val="autoZero"/>
        <c:auto val="1"/>
        <c:lblAlgn val="ctr"/>
        <c:lblOffset val="100"/>
        <c:noMultiLvlLbl val="1"/>
      </c:catAx>
      <c:valAx>
        <c:axId val="32918820"/>
        <c:scaling>
          <c:orientation val="minMax"/>
        </c:scaling>
        <c:delete val="1"/>
        <c:axPos val="l"/>
        <c:majorGridlines>
          <c:spPr>
            <a:ln w="6480">
              <a:solidFill>
                <a:srgbClr val="8B8B8B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one"/>
        <c:crossAx val="43670162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plotVisOnly val="1"/>
    <c:dispBlanksAs val="zero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Comparativos!$A$1</c:f>
              <c:strCache>
                <c:ptCount val="1"/>
              </c:strCache>
            </c:strRef>
          </c:tx>
          <c:spPr>
            <a:ln w="28440">
              <a:solidFill>
                <a:srgbClr val="5B9BD5"/>
              </a:solidFill>
              <a:round/>
            </a:ln>
          </c:spPr>
          <c:marker>
            <c:symbol val="circle"/>
            <c:size val="5"/>
            <c:spPr>
              <a:solidFill>
                <a:srgbClr val="5B9BD5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'Dívida Ativa'!$B$40:$B$51</c:f>
              <c:numCache>
                <c:formatCode>* #,##0.00\ ;* \(#,##0.00\);* \-#\ ;@\ </c:formatCode>
                <c:ptCount val="12"/>
                <c:pt idx="0">
                  <c:v>17058.23</c:v>
                </c:pt>
                <c:pt idx="1">
                  <c:v>13465.4</c:v>
                </c:pt>
                <c:pt idx="2">
                  <c:v>19039.939999999999</c:v>
                </c:pt>
                <c:pt idx="3">
                  <c:v>258055.04000000001</c:v>
                </c:pt>
                <c:pt idx="4">
                  <c:v>119663.27</c:v>
                </c:pt>
                <c:pt idx="5">
                  <c:v>95828.98</c:v>
                </c:pt>
                <c:pt idx="6">
                  <c:v>111224.86</c:v>
                </c:pt>
                <c:pt idx="7">
                  <c:v>124220.38</c:v>
                </c:pt>
                <c:pt idx="8">
                  <c:v>91414.82</c:v>
                </c:pt>
                <c:pt idx="9">
                  <c:v>126349.11</c:v>
                </c:pt>
                <c:pt idx="10">
                  <c:v>54836.37</c:v>
                </c:pt>
                <c:pt idx="11">
                  <c:v>116391.02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DD-4D80-84B9-F4607B191381}"/>
            </c:ext>
          </c:extLst>
        </c:ser>
        <c:ser>
          <c:idx val="1"/>
          <c:order val="1"/>
          <c:tx>
            <c:strRef>
              <c:f>Comparativos!$A$1</c:f>
              <c:strCache>
                <c:ptCount val="1"/>
              </c:strCache>
            </c:strRef>
          </c:tx>
          <c:spPr>
            <a:ln w="28440">
              <a:solidFill>
                <a:srgbClr val="ED7D31"/>
              </a:solidFill>
              <a:round/>
            </a:ln>
          </c:spPr>
          <c:marker>
            <c:symbol val="circle"/>
            <c:size val="5"/>
            <c:spPr>
              <a:solidFill>
                <a:srgbClr val="ED7D31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'Dívida Ativa'!$C$40:$C$51</c:f>
              <c:numCache>
                <c:formatCode>* #,##0.00\ ;* \(#,##0.00\);* \-#\ ;@\ </c:formatCode>
                <c:ptCount val="12"/>
                <c:pt idx="0">
                  <c:v>103694.59</c:v>
                </c:pt>
                <c:pt idx="1">
                  <c:v>123024.66</c:v>
                </c:pt>
                <c:pt idx="2">
                  <c:v>74304.759999999995</c:v>
                </c:pt>
                <c:pt idx="3">
                  <c:v>40070.550000000003</c:v>
                </c:pt>
                <c:pt idx="4">
                  <c:v>39031.51</c:v>
                </c:pt>
                <c:pt idx="5">
                  <c:v>42532.65</c:v>
                </c:pt>
                <c:pt idx="6">
                  <c:v>54773.88</c:v>
                </c:pt>
                <c:pt idx="7">
                  <c:v>68125.490000000005</c:v>
                </c:pt>
                <c:pt idx="8">
                  <c:v>63898.71</c:v>
                </c:pt>
                <c:pt idx="9">
                  <c:v>88464.91</c:v>
                </c:pt>
                <c:pt idx="10">
                  <c:v>60268.54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DD-4D80-84B9-F4607B191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69257524"/>
        <c:axId val="21724085"/>
      </c:lineChart>
      <c:catAx>
        <c:axId val="692575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1724085"/>
        <c:crosses val="autoZero"/>
        <c:auto val="1"/>
        <c:lblAlgn val="ctr"/>
        <c:lblOffset val="100"/>
        <c:noMultiLvlLbl val="1"/>
      </c:catAx>
      <c:valAx>
        <c:axId val="21724085"/>
        <c:scaling>
          <c:orientation val="minMax"/>
        </c:scaling>
        <c:delete val="1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* #,##0.00\ ;* \(#,##0.00\);* \-#\ ;@\ " sourceLinked="0"/>
        <c:majorTickMark val="none"/>
        <c:minorTickMark val="none"/>
        <c:tickLblPos val="none"/>
        <c:crossAx val="69257524"/>
        <c:crosses val="autoZero"/>
        <c:crossBetween val="midCat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pt-BR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74880</xdr:rowOff>
    </xdr:from>
    <xdr:to>
      <xdr:col>3</xdr:col>
      <xdr:colOff>893520</xdr:colOff>
      <xdr:row>29</xdr:row>
      <xdr:rowOff>70560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939600</xdr:colOff>
      <xdr:row>18</xdr:row>
      <xdr:rowOff>61200</xdr:rowOff>
    </xdr:from>
    <xdr:to>
      <xdr:col>7</xdr:col>
      <xdr:colOff>50040</xdr:colOff>
      <xdr:row>29</xdr:row>
      <xdr:rowOff>131760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65160</xdr:colOff>
      <xdr:row>44</xdr:row>
      <xdr:rowOff>65880</xdr:rowOff>
    </xdr:from>
    <xdr:to>
      <xdr:col>6</xdr:col>
      <xdr:colOff>553320</xdr:colOff>
      <xdr:row>65</xdr:row>
      <xdr:rowOff>47520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77400</xdr:colOff>
      <xdr:row>46</xdr:row>
      <xdr:rowOff>146520</xdr:rowOff>
    </xdr:from>
    <xdr:to>
      <xdr:col>5</xdr:col>
      <xdr:colOff>552240</xdr:colOff>
      <xdr:row>66</xdr:row>
      <xdr:rowOff>99360</xdr:rowOff>
    </xdr:to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88920</xdr:colOff>
      <xdr:row>12</xdr:row>
      <xdr:rowOff>95400</xdr:rowOff>
    </xdr:from>
    <xdr:to>
      <xdr:col>8</xdr:col>
      <xdr:colOff>495000</xdr:colOff>
      <xdr:row>29</xdr:row>
      <xdr:rowOff>7200</xdr:rowOff>
    </xdr:to>
    <xdr:graphicFrame macro="">
      <xdr:nvGraphicFramePr>
        <xdr:cNvPr id="4" name="Gráfico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167400</xdr:colOff>
      <xdr:row>1</xdr:row>
      <xdr:rowOff>36360</xdr:rowOff>
    </xdr:from>
    <xdr:to>
      <xdr:col>10</xdr:col>
      <xdr:colOff>263520</xdr:colOff>
      <xdr:row>14</xdr:row>
      <xdr:rowOff>95040</xdr:rowOff>
    </xdr:to>
    <xdr:graphicFrame macro="">
      <xdr:nvGraphicFramePr>
        <xdr:cNvPr id="5" name="Gráfico 1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161280</xdr:colOff>
      <xdr:row>15</xdr:row>
      <xdr:rowOff>131760</xdr:rowOff>
    </xdr:from>
    <xdr:to>
      <xdr:col>10</xdr:col>
      <xdr:colOff>257400</xdr:colOff>
      <xdr:row>31</xdr:row>
      <xdr:rowOff>105480</xdr:rowOff>
    </xdr:to>
    <xdr:graphicFrame macro="">
      <xdr:nvGraphicFramePr>
        <xdr:cNvPr id="6" name="Gráfico 2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77400</xdr:colOff>
      <xdr:row>10</xdr:row>
      <xdr:rowOff>8640</xdr:rowOff>
    </xdr:from>
    <xdr:to>
      <xdr:col>20</xdr:col>
      <xdr:colOff>268200</xdr:colOff>
      <xdr:row>26</xdr:row>
      <xdr:rowOff>137160</xdr:rowOff>
    </xdr:to>
    <xdr:graphicFrame macro="">
      <xdr:nvGraphicFramePr>
        <xdr:cNvPr id="7" name="Gráfico 5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103320</xdr:colOff>
      <xdr:row>37</xdr:row>
      <xdr:rowOff>29160</xdr:rowOff>
    </xdr:from>
    <xdr:to>
      <xdr:col>10</xdr:col>
      <xdr:colOff>208800</xdr:colOff>
      <xdr:row>51</xdr:row>
      <xdr:rowOff>146520</xdr:rowOff>
    </xdr:to>
    <xdr:graphicFrame macro="">
      <xdr:nvGraphicFramePr>
        <xdr:cNvPr id="8" name="Gráfico 1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84240</xdr:colOff>
      <xdr:row>0</xdr:row>
      <xdr:rowOff>23760</xdr:rowOff>
    </xdr:from>
    <xdr:to>
      <xdr:col>10</xdr:col>
      <xdr:colOff>610560</xdr:colOff>
      <xdr:row>14</xdr:row>
      <xdr:rowOff>141120</xdr:rowOff>
    </xdr:to>
    <xdr:graphicFrame macro="">
      <xdr:nvGraphicFramePr>
        <xdr:cNvPr id="9" name="Gráfico 1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90000</xdr:colOff>
      <xdr:row>17</xdr:row>
      <xdr:rowOff>11880</xdr:rowOff>
    </xdr:from>
    <xdr:to>
      <xdr:col>10</xdr:col>
      <xdr:colOff>610200</xdr:colOff>
      <xdr:row>31</xdr:row>
      <xdr:rowOff>148320</xdr:rowOff>
    </xdr:to>
    <xdr:graphicFrame macro="">
      <xdr:nvGraphicFramePr>
        <xdr:cNvPr id="10" name="Gráfico 2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337680</xdr:colOff>
      <xdr:row>35</xdr:row>
      <xdr:rowOff>7920</xdr:rowOff>
    </xdr:from>
    <xdr:to>
      <xdr:col>11</xdr:col>
      <xdr:colOff>458640</xdr:colOff>
      <xdr:row>50</xdr:row>
      <xdr:rowOff>30600</xdr:rowOff>
    </xdr:to>
    <xdr:graphicFrame macro="">
      <xdr:nvGraphicFramePr>
        <xdr:cNvPr id="11" name="Gráfico 1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351720</xdr:colOff>
      <xdr:row>18</xdr:row>
      <xdr:rowOff>67320</xdr:rowOff>
    </xdr:from>
    <xdr:to>
      <xdr:col>5</xdr:col>
      <xdr:colOff>671400</xdr:colOff>
      <xdr:row>35</xdr:row>
      <xdr:rowOff>41040</xdr:rowOff>
    </xdr:to>
    <xdr:graphicFrame macro="">
      <xdr:nvGraphicFramePr>
        <xdr:cNvPr id="12" name="Gráfico 3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198720</xdr:colOff>
      <xdr:row>18</xdr:row>
      <xdr:rowOff>67320</xdr:rowOff>
    </xdr:from>
    <xdr:to>
      <xdr:col>14</xdr:col>
      <xdr:colOff>121320</xdr:colOff>
      <xdr:row>35</xdr:row>
      <xdr:rowOff>41040</xdr:rowOff>
    </xdr:to>
    <xdr:graphicFrame macro="">
      <xdr:nvGraphicFramePr>
        <xdr:cNvPr id="13" name="Gráfico 4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253800</xdr:colOff>
      <xdr:row>55</xdr:row>
      <xdr:rowOff>146160</xdr:rowOff>
    </xdr:to>
    <xdr:sp macro="" textlink="">
      <xdr:nvSpPr>
        <xdr:cNvPr id="14" name="CustomShape 1" hidden="1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SpPr/>
      </xdr:nvSpPr>
      <xdr:spPr>
        <a:xfrm>
          <a:off x="0" y="0"/>
          <a:ext cx="6723000" cy="94899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477000</xdr:colOff>
      <xdr:row>89</xdr:row>
      <xdr:rowOff>123120</xdr:rowOff>
    </xdr:from>
    <xdr:to>
      <xdr:col>11</xdr:col>
      <xdr:colOff>730440</xdr:colOff>
      <xdr:row>106</xdr:row>
      <xdr:rowOff>64080</xdr:rowOff>
    </xdr:to>
    <xdr:graphicFrame macro="">
      <xdr:nvGraphicFramePr>
        <xdr:cNvPr id="15" name="Gráfico 2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1013040</xdr:colOff>
      <xdr:row>56</xdr:row>
      <xdr:rowOff>12960</xdr:rowOff>
    </xdr:to>
    <xdr:sp macro="" textlink="">
      <xdr:nvSpPr>
        <xdr:cNvPr id="16" name="CustomShape 1" hidden="1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/>
      </xdr:nvSpPr>
      <xdr:spPr>
        <a:xfrm>
          <a:off x="0" y="0"/>
          <a:ext cx="10010880" cy="9518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1019175</xdr:colOff>
      <xdr:row>56</xdr:row>
      <xdr:rowOff>19050</xdr:rowOff>
    </xdr:to>
    <xdr:sp macro="" textlink="">
      <xdr:nvSpPr>
        <xdr:cNvPr id="8194" name="shapetype_202" hidden="1">
          <a:extLst>
            <a:ext uri="{FF2B5EF4-FFF2-40B4-BE49-F238E27FC236}">
              <a16:creationId xmlns:a16="http://schemas.microsoft.com/office/drawing/2014/main" id="{00000000-0008-0000-0B00-0000022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432000</xdr:colOff>
      <xdr:row>59</xdr:row>
      <xdr:rowOff>23040</xdr:rowOff>
    </xdr:to>
    <xdr:sp macro="" textlink="">
      <xdr:nvSpPr>
        <xdr:cNvPr id="17" name="CustomShape 1" hidden="1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0" y="0"/>
          <a:ext cx="10048320" cy="9519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432000</xdr:colOff>
      <xdr:row>59</xdr:row>
      <xdr:rowOff>23040</xdr:rowOff>
    </xdr:to>
    <xdr:sp macro="" textlink="">
      <xdr:nvSpPr>
        <xdr:cNvPr id="18" name="CustomShape 1" hidden="1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0" y="0"/>
          <a:ext cx="10048320" cy="9519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59</xdr:row>
      <xdr:rowOff>28575</xdr:rowOff>
    </xdr:to>
    <xdr:sp macro="" textlink="">
      <xdr:nvSpPr>
        <xdr:cNvPr id="9220" name="shapetype_202" hidden="1">
          <a:extLst>
            <a:ext uri="{FF2B5EF4-FFF2-40B4-BE49-F238E27FC236}">
              <a16:creationId xmlns:a16="http://schemas.microsoft.com/office/drawing/2014/main" id="{00000000-0008-0000-0C00-0000042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59</xdr:row>
      <xdr:rowOff>28575</xdr:rowOff>
    </xdr:to>
    <xdr:sp macro="" textlink="">
      <xdr:nvSpPr>
        <xdr:cNvPr id="9218" name="shapetype_202" hidden="1">
          <a:extLst>
            <a:ext uri="{FF2B5EF4-FFF2-40B4-BE49-F238E27FC236}">
              <a16:creationId xmlns:a16="http://schemas.microsoft.com/office/drawing/2014/main" id="{00000000-0008-0000-0C00-0000022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MK43"/>
  <sheetViews>
    <sheetView topLeftCell="A9" zoomScale="160" zoomScaleNormal="160" workbookViewId="0">
      <selection activeCell="I33" sqref="I33"/>
    </sheetView>
  </sheetViews>
  <sheetFormatPr defaultRowHeight="12.75" x14ac:dyDescent="0.2"/>
  <cols>
    <col min="1" max="1" width="33.28515625" style="1" customWidth="1"/>
    <col min="2" max="2" width="9.5703125" style="1" customWidth="1"/>
    <col min="3" max="3" width="13.42578125" style="1" customWidth="1"/>
    <col min="4" max="4" width="8.85546875" style="1" customWidth="1"/>
    <col min="5" max="5" width="9.7109375" style="1" customWidth="1"/>
    <col min="6" max="6" width="10.85546875" style="1" customWidth="1"/>
    <col min="7" max="7" width="15.85546875" style="1" customWidth="1"/>
    <col min="8" max="8" width="31.140625" style="1" customWidth="1"/>
    <col min="9" max="1025" width="9.140625" style="1" customWidth="1"/>
  </cols>
  <sheetData>
    <row r="1" spans="1:8" ht="12.75" customHeight="1" x14ac:dyDescent="0.2">
      <c r="A1" s="198" t="s">
        <v>0</v>
      </c>
      <c r="B1" s="198"/>
      <c r="C1" s="198"/>
      <c r="D1" s="198"/>
      <c r="E1" s="198"/>
      <c r="F1" s="198"/>
      <c r="G1" s="198"/>
      <c r="H1" s="198"/>
    </row>
    <row r="2" spans="1:8" ht="12.75" customHeight="1" x14ac:dyDescent="0.2">
      <c r="A2" s="196" t="s">
        <v>1</v>
      </c>
      <c r="B2" s="196" t="s">
        <v>2</v>
      </c>
      <c r="C2" s="196" t="s">
        <v>3</v>
      </c>
      <c r="D2" s="200" t="s">
        <v>4</v>
      </c>
      <c r="E2" s="200"/>
      <c r="F2" s="200"/>
      <c r="G2" s="196" t="s">
        <v>5</v>
      </c>
      <c r="H2" s="196" t="s">
        <v>6</v>
      </c>
    </row>
    <row r="3" spans="1:8" ht="14.1" customHeight="1" x14ac:dyDescent="0.2">
      <c r="A3" s="196"/>
      <c r="B3" s="196"/>
      <c r="C3" s="196"/>
      <c r="D3" s="3" t="s">
        <v>7</v>
      </c>
      <c r="E3" s="3" t="s">
        <v>8</v>
      </c>
      <c r="F3" s="3" t="s">
        <v>9</v>
      </c>
      <c r="G3" s="196"/>
      <c r="H3" s="196"/>
    </row>
    <row r="4" spans="1:8" x14ac:dyDescent="0.2">
      <c r="A4" s="4" t="s">
        <v>10</v>
      </c>
      <c r="B4" s="5" t="s">
        <v>11</v>
      </c>
      <c r="C4" s="6" t="s">
        <v>12</v>
      </c>
      <c r="D4" s="7">
        <v>3.5</v>
      </c>
      <c r="E4" s="8">
        <v>918.4</v>
      </c>
      <c r="F4" s="8">
        <v>0</v>
      </c>
      <c r="G4" s="9" t="s">
        <v>13</v>
      </c>
      <c r="H4" s="10" t="s">
        <v>14</v>
      </c>
    </row>
    <row r="5" spans="1:8" x14ac:dyDescent="0.2">
      <c r="A5" s="11" t="s">
        <v>15</v>
      </c>
      <c r="B5" s="12" t="s">
        <v>16</v>
      </c>
      <c r="C5" s="13" t="s">
        <v>17</v>
      </c>
      <c r="D5" s="14">
        <v>4.5</v>
      </c>
      <c r="E5" s="15">
        <v>1180.8</v>
      </c>
      <c r="F5" s="15">
        <v>0</v>
      </c>
      <c r="G5" s="16" t="s">
        <v>18</v>
      </c>
      <c r="H5" s="17" t="s">
        <v>19</v>
      </c>
    </row>
    <row r="6" spans="1:8" x14ac:dyDescent="0.2">
      <c r="A6" s="4" t="s">
        <v>15</v>
      </c>
      <c r="B6" s="9" t="s">
        <v>16</v>
      </c>
      <c r="C6" s="6" t="s">
        <v>20</v>
      </c>
      <c r="D6" s="7">
        <v>3.5</v>
      </c>
      <c r="E6" s="8">
        <v>918.4</v>
      </c>
      <c r="F6" s="8">
        <v>0</v>
      </c>
      <c r="G6" s="18" t="s">
        <v>18</v>
      </c>
      <c r="H6" s="10" t="s">
        <v>19</v>
      </c>
    </row>
    <row r="7" spans="1:8" x14ac:dyDescent="0.2">
      <c r="A7" s="11" t="s">
        <v>21</v>
      </c>
      <c r="B7" s="12" t="s">
        <v>16</v>
      </c>
      <c r="C7" s="19" t="s">
        <v>22</v>
      </c>
      <c r="D7" s="20">
        <v>0.6</v>
      </c>
      <c r="E7" s="21">
        <v>157.44</v>
      </c>
      <c r="F7" s="21">
        <v>0</v>
      </c>
      <c r="G7" s="22" t="s">
        <v>18</v>
      </c>
      <c r="H7" s="23" t="s">
        <v>19</v>
      </c>
    </row>
    <row r="8" spans="1:8" x14ac:dyDescent="0.2">
      <c r="A8" s="4" t="s">
        <v>21</v>
      </c>
      <c r="B8" s="9" t="s">
        <v>16</v>
      </c>
      <c r="C8" s="24" t="s">
        <v>23</v>
      </c>
      <c r="D8" s="7">
        <v>2.5</v>
      </c>
      <c r="E8" s="8">
        <v>656</v>
      </c>
      <c r="F8" s="8">
        <v>0</v>
      </c>
      <c r="G8" s="18" t="s">
        <v>18</v>
      </c>
      <c r="H8" s="10" t="s">
        <v>19</v>
      </c>
    </row>
    <row r="9" spans="1:8" x14ac:dyDescent="0.2">
      <c r="A9" s="11" t="s">
        <v>24</v>
      </c>
      <c r="B9" s="25" t="s">
        <v>16</v>
      </c>
      <c r="C9" s="13" t="s">
        <v>17</v>
      </c>
      <c r="D9" s="14">
        <v>4.5</v>
      </c>
      <c r="E9" s="15">
        <v>1180.8</v>
      </c>
      <c r="F9" s="15">
        <v>0</v>
      </c>
      <c r="G9" s="12" t="s">
        <v>18</v>
      </c>
      <c r="H9" s="17" t="s">
        <v>19</v>
      </c>
    </row>
    <row r="10" spans="1:8" x14ac:dyDescent="0.2">
      <c r="A10" s="4" t="s">
        <v>24</v>
      </c>
      <c r="B10" s="5" t="s">
        <v>16</v>
      </c>
      <c r="C10" s="6" t="s">
        <v>20</v>
      </c>
      <c r="D10" s="9">
        <v>3.5</v>
      </c>
      <c r="E10" s="8">
        <v>918.4</v>
      </c>
      <c r="F10" s="8">
        <v>0</v>
      </c>
      <c r="G10" s="9" t="s">
        <v>18</v>
      </c>
      <c r="H10" s="10" t="s">
        <v>19</v>
      </c>
    </row>
    <row r="11" spans="1:8" x14ac:dyDescent="0.2">
      <c r="A11" s="11" t="s">
        <v>25</v>
      </c>
      <c r="B11" s="25" t="s">
        <v>16</v>
      </c>
      <c r="C11" s="13" t="s">
        <v>17</v>
      </c>
      <c r="D11" s="14">
        <v>4.5</v>
      </c>
      <c r="E11" s="15">
        <v>1180.8</v>
      </c>
      <c r="F11" s="15">
        <v>0</v>
      </c>
      <c r="G11" s="12" t="s">
        <v>18</v>
      </c>
      <c r="H11" s="17" t="s">
        <v>19</v>
      </c>
    </row>
    <row r="12" spans="1:8" x14ac:dyDescent="0.2">
      <c r="A12" s="4" t="s">
        <v>25</v>
      </c>
      <c r="B12" s="5" t="s">
        <v>16</v>
      </c>
      <c r="C12" s="6" t="s">
        <v>20</v>
      </c>
      <c r="D12" s="9">
        <v>3.5</v>
      </c>
      <c r="E12" s="8">
        <v>918.4</v>
      </c>
      <c r="F12" s="8">
        <v>0</v>
      </c>
      <c r="G12" s="9" t="s">
        <v>18</v>
      </c>
      <c r="H12" s="10" t="s">
        <v>19</v>
      </c>
    </row>
    <row r="13" spans="1:8" x14ac:dyDescent="0.2">
      <c r="A13" s="11" t="s">
        <v>26</v>
      </c>
      <c r="B13" s="25" t="s">
        <v>16</v>
      </c>
      <c r="C13" s="13" t="s">
        <v>17</v>
      </c>
      <c r="D13" s="14">
        <v>4.5</v>
      </c>
      <c r="E13" s="15">
        <v>1180.8</v>
      </c>
      <c r="F13" s="15">
        <v>0</v>
      </c>
      <c r="G13" s="12" t="s">
        <v>18</v>
      </c>
      <c r="H13" s="17" t="s">
        <v>19</v>
      </c>
    </row>
    <row r="14" spans="1:8" x14ac:dyDescent="0.2">
      <c r="A14" s="26" t="s">
        <v>26</v>
      </c>
      <c r="B14" s="5" t="s">
        <v>16</v>
      </c>
      <c r="C14" s="6" t="s">
        <v>20</v>
      </c>
      <c r="D14" s="9">
        <v>3.5</v>
      </c>
      <c r="E14" s="8">
        <v>918.4</v>
      </c>
      <c r="F14" s="8">
        <v>0</v>
      </c>
      <c r="G14" s="9" t="s">
        <v>18</v>
      </c>
      <c r="H14" s="10" t="s">
        <v>19</v>
      </c>
    </row>
    <row r="15" spans="1:8" x14ac:dyDescent="0.2">
      <c r="A15" s="27" t="s">
        <v>26</v>
      </c>
      <c r="B15" s="25" t="s">
        <v>16</v>
      </c>
      <c r="C15" s="13" t="s">
        <v>27</v>
      </c>
      <c r="D15" s="12">
        <v>2.5</v>
      </c>
      <c r="E15" s="15">
        <v>656</v>
      </c>
      <c r="F15" s="15">
        <v>0</v>
      </c>
      <c r="G15" s="12" t="s">
        <v>18</v>
      </c>
      <c r="H15" s="17" t="s">
        <v>19</v>
      </c>
    </row>
    <row r="16" spans="1:8" x14ac:dyDescent="0.2">
      <c r="A16" s="4" t="s">
        <v>28</v>
      </c>
      <c r="B16" s="5" t="s">
        <v>16</v>
      </c>
      <c r="C16" s="6" t="s">
        <v>20</v>
      </c>
      <c r="D16" s="7">
        <v>3.5</v>
      </c>
      <c r="E16" s="8">
        <v>918.4</v>
      </c>
      <c r="F16" s="8">
        <v>0</v>
      </c>
      <c r="G16" s="9" t="s">
        <v>18</v>
      </c>
      <c r="H16" s="10" t="s">
        <v>19</v>
      </c>
    </row>
    <row r="17" spans="1:8" x14ac:dyDescent="0.2">
      <c r="A17" s="11" t="s">
        <v>29</v>
      </c>
      <c r="B17" s="25" t="s">
        <v>16</v>
      </c>
      <c r="C17" s="28" t="s">
        <v>20</v>
      </c>
      <c r="D17" s="12">
        <v>3.5</v>
      </c>
      <c r="E17" s="15">
        <v>918.4</v>
      </c>
      <c r="F17" s="15">
        <v>0</v>
      </c>
      <c r="G17" s="12" t="s">
        <v>18</v>
      </c>
      <c r="H17" s="17" t="s">
        <v>19</v>
      </c>
    </row>
    <row r="18" spans="1:8" x14ac:dyDescent="0.2">
      <c r="A18" s="29" t="s">
        <v>30</v>
      </c>
      <c r="B18" s="5" t="s">
        <v>31</v>
      </c>
      <c r="C18" s="30">
        <v>44653</v>
      </c>
      <c r="D18" s="7">
        <v>1</v>
      </c>
      <c r="E18" s="8">
        <v>262.39999999999998</v>
      </c>
      <c r="F18" s="8">
        <v>0</v>
      </c>
      <c r="G18" s="9" t="s">
        <v>18</v>
      </c>
      <c r="H18" s="10" t="s">
        <v>32</v>
      </c>
    </row>
    <row r="19" spans="1:8" x14ac:dyDescent="0.2">
      <c r="A19" s="31" t="s">
        <v>33</v>
      </c>
      <c r="B19" s="25" t="s">
        <v>16</v>
      </c>
      <c r="C19" s="13" t="s">
        <v>20</v>
      </c>
      <c r="D19" s="12">
        <v>3.5</v>
      </c>
      <c r="E19" s="15">
        <v>918.4</v>
      </c>
      <c r="F19" s="15">
        <v>0</v>
      </c>
      <c r="G19" s="12" t="s">
        <v>18</v>
      </c>
      <c r="H19" s="17" t="s">
        <v>19</v>
      </c>
    </row>
    <row r="20" spans="1:8" x14ac:dyDescent="0.2">
      <c r="A20" s="32" t="s">
        <v>34</v>
      </c>
      <c r="B20" s="5" t="s">
        <v>16</v>
      </c>
      <c r="C20" s="6" t="s">
        <v>20</v>
      </c>
      <c r="D20" s="7">
        <v>3.5</v>
      </c>
      <c r="E20" s="8">
        <v>918.4</v>
      </c>
      <c r="F20" s="8">
        <v>0</v>
      </c>
      <c r="G20" s="9" t="s">
        <v>18</v>
      </c>
      <c r="H20" s="10" t="s">
        <v>19</v>
      </c>
    </row>
    <row r="21" spans="1:8" x14ac:dyDescent="0.2">
      <c r="A21" s="11" t="s">
        <v>35</v>
      </c>
      <c r="B21" s="25" t="s">
        <v>36</v>
      </c>
      <c r="C21" s="13" t="s">
        <v>22</v>
      </c>
      <c r="D21" s="12" t="s">
        <v>37</v>
      </c>
      <c r="E21" s="15">
        <v>815.82</v>
      </c>
      <c r="F21" s="15">
        <f>2576.29+834.62</f>
        <v>3410.91</v>
      </c>
      <c r="G21" s="12" t="s">
        <v>38</v>
      </c>
      <c r="H21" s="17" t="s">
        <v>39</v>
      </c>
    </row>
    <row r="22" spans="1:8" x14ac:dyDescent="0.2">
      <c r="A22" s="33" t="s">
        <v>40</v>
      </c>
      <c r="B22" s="5" t="s">
        <v>41</v>
      </c>
      <c r="C22" s="6" t="s">
        <v>42</v>
      </c>
      <c r="D22" s="7">
        <v>3.5</v>
      </c>
      <c r="E22" s="8">
        <v>918.4</v>
      </c>
      <c r="F22" s="8">
        <v>0</v>
      </c>
      <c r="G22" s="9" t="s">
        <v>18</v>
      </c>
      <c r="H22" s="10" t="s">
        <v>43</v>
      </c>
    </row>
    <row r="23" spans="1:8" x14ac:dyDescent="0.2">
      <c r="A23" s="31" t="s">
        <v>44</v>
      </c>
      <c r="B23" s="25" t="s">
        <v>16</v>
      </c>
      <c r="C23" s="13" t="s">
        <v>17</v>
      </c>
      <c r="D23" s="12">
        <v>4.5</v>
      </c>
      <c r="E23" s="15">
        <v>1180.8</v>
      </c>
      <c r="F23" s="15">
        <v>0</v>
      </c>
      <c r="G23" s="12" t="s">
        <v>18</v>
      </c>
      <c r="H23" s="34" t="s">
        <v>19</v>
      </c>
    </row>
    <row r="24" spans="1:8" x14ac:dyDescent="0.2">
      <c r="A24" s="4" t="s">
        <v>44</v>
      </c>
      <c r="B24" s="5" t="s">
        <v>16</v>
      </c>
      <c r="C24" s="6" t="s">
        <v>20</v>
      </c>
      <c r="D24" s="7">
        <v>3.5</v>
      </c>
      <c r="E24" s="8">
        <v>918.4</v>
      </c>
      <c r="F24" s="8">
        <v>0</v>
      </c>
      <c r="G24" s="9" t="s">
        <v>18</v>
      </c>
      <c r="H24" s="10" t="s">
        <v>19</v>
      </c>
    </row>
    <row r="25" spans="1:8" x14ac:dyDescent="0.2">
      <c r="A25" s="11" t="s">
        <v>45</v>
      </c>
      <c r="B25" s="25" t="s">
        <v>16</v>
      </c>
      <c r="C25" s="13" t="s">
        <v>17</v>
      </c>
      <c r="D25" s="12">
        <v>4.5</v>
      </c>
      <c r="E25" s="15">
        <v>1180.8</v>
      </c>
      <c r="F25" s="15">
        <v>0</v>
      </c>
      <c r="G25" s="12" t="s">
        <v>18</v>
      </c>
      <c r="H25" s="17" t="s">
        <v>19</v>
      </c>
    </row>
    <row r="26" spans="1:8" x14ac:dyDescent="0.2">
      <c r="A26" s="4" t="s">
        <v>45</v>
      </c>
      <c r="B26" s="5" t="s">
        <v>16</v>
      </c>
      <c r="C26" s="30" t="s">
        <v>20</v>
      </c>
      <c r="D26" s="7">
        <v>3.5</v>
      </c>
      <c r="E26" s="8">
        <v>918.4</v>
      </c>
      <c r="F26" s="8">
        <v>0</v>
      </c>
      <c r="G26" s="9" t="s">
        <v>18</v>
      </c>
      <c r="H26" s="35" t="s">
        <v>19</v>
      </c>
    </row>
    <row r="27" spans="1:8" x14ac:dyDescent="0.2">
      <c r="A27" s="11" t="s">
        <v>45</v>
      </c>
      <c r="B27" s="25" t="s">
        <v>16</v>
      </c>
      <c r="C27" s="13" t="s">
        <v>23</v>
      </c>
      <c r="D27" s="14">
        <v>2.5</v>
      </c>
      <c r="E27" s="15">
        <v>656</v>
      </c>
      <c r="F27" s="15">
        <v>0</v>
      </c>
      <c r="G27" s="12" t="s">
        <v>18</v>
      </c>
      <c r="H27" s="34" t="s">
        <v>19</v>
      </c>
    </row>
    <row r="28" spans="1:8" x14ac:dyDescent="0.2">
      <c r="A28" s="4" t="s">
        <v>46</v>
      </c>
      <c r="B28" s="5" t="s">
        <v>47</v>
      </c>
      <c r="C28" s="6" t="s">
        <v>22</v>
      </c>
      <c r="D28" s="9" t="s">
        <v>37</v>
      </c>
      <c r="E28" s="8">
        <v>815.82</v>
      </c>
      <c r="F28" s="8">
        <f>2576.29+834.62</f>
        <v>3410.91</v>
      </c>
      <c r="G28" s="9" t="s">
        <v>38</v>
      </c>
      <c r="H28" s="10" t="s">
        <v>48</v>
      </c>
    </row>
    <row r="29" spans="1:8" x14ac:dyDescent="0.2">
      <c r="A29" s="36" t="s">
        <v>49</v>
      </c>
      <c r="B29" s="25" t="s">
        <v>16</v>
      </c>
      <c r="C29" s="13" t="s">
        <v>17</v>
      </c>
      <c r="D29" s="14">
        <v>4.5</v>
      </c>
      <c r="E29" s="15">
        <v>1180.8</v>
      </c>
      <c r="F29" s="15">
        <v>0</v>
      </c>
      <c r="G29" s="12" t="s">
        <v>18</v>
      </c>
      <c r="H29" s="17" t="s">
        <v>19</v>
      </c>
    </row>
    <row r="30" spans="1:8" x14ac:dyDescent="0.2">
      <c r="A30" s="4" t="s">
        <v>49</v>
      </c>
      <c r="B30" s="37" t="s">
        <v>16</v>
      </c>
      <c r="C30" s="6" t="s">
        <v>20</v>
      </c>
      <c r="D30" s="9">
        <v>3.5</v>
      </c>
      <c r="E30" s="38">
        <v>918.4</v>
      </c>
      <c r="F30" s="38">
        <v>0</v>
      </c>
      <c r="G30" s="6" t="s">
        <v>18</v>
      </c>
      <c r="H30" s="10" t="s">
        <v>19</v>
      </c>
    </row>
    <row r="31" spans="1:8" x14ac:dyDescent="0.2">
      <c r="A31" s="11" t="s">
        <v>49</v>
      </c>
      <c r="B31" s="39" t="s">
        <v>16</v>
      </c>
      <c r="C31" s="13" t="s">
        <v>27</v>
      </c>
      <c r="D31" s="12">
        <v>2.5</v>
      </c>
      <c r="E31" s="40">
        <v>656</v>
      </c>
      <c r="F31" s="40">
        <v>0</v>
      </c>
      <c r="G31" s="13" t="s">
        <v>18</v>
      </c>
      <c r="H31" s="17" t="s">
        <v>19</v>
      </c>
    </row>
    <row r="32" spans="1:8" x14ac:dyDescent="0.2">
      <c r="A32" s="4" t="s">
        <v>50</v>
      </c>
      <c r="B32" s="37" t="s">
        <v>41</v>
      </c>
      <c r="C32" s="6" t="s">
        <v>51</v>
      </c>
      <c r="D32" s="9">
        <v>1.5</v>
      </c>
      <c r="E32" s="38">
        <v>393.6</v>
      </c>
      <c r="F32" s="38">
        <v>327.06</v>
      </c>
      <c r="G32" s="6" t="s">
        <v>52</v>
      </c>
      <c r="H32" s="10" t="s">
        <v>53</v>
      </c>
    </row>
    <row r="33" spans="1:8" x14ac:dyDescent="0.2">
      <c r="A33" s="196"/>
      <c r="B33" s="196"/>
      <c r="C33" s="196"/>
      <c r="D33" s="3" t="s">
        <v>54</v>
      </c>
      <c r="E33" s="41">
        <f>SUM(E4:E32)</f>
        <v>25273.879999999997</v>
      </c>
      <c r="F33" s="41">
        <f>SUM(F4:F32)</f>
        <v>7148.88</v>
      </c>
      <c r="G33" s="197"/>
      <c r="H33" s="197"/>
    </row>
    <row r="34" spans="1:8" x14ac:dyDescent="0.2">
      <c r="A34"/>
      <c r="B34"/>
      <c r="C34"/>
      <c r="D34"/>
      <c r="E34"/>
      <c r="F34"/>
      <c r="G34"/>
      <c r="H34"/>
    </row>
    <row r="35" spans="1:8" x14ac:dyDescent="0.2">
      <c r="A35"/>
      <c r="B35"/>
      <c r="C35"/>
      <c r="D35"/>
      <c r="E35"/>
      <c r="F35"/>
      <c r="G35"/>
      <c r="H35"/>
    </row>
    <row r="36" spans="1:8" ht="12" customHeight="1" x14ac:dyDescent="0.2">
      <c r="A36" s="198" t="s">
        <v>55</v>
      </c>
      <c r="B36" s="198"/>
      <c r="C36" s="198"/>
      <c r="D36"/>
      <c r="E36"/>
      <c r="F36"/>
      <c r="G36"/>
      <c r="H36"/>
    </row>
    <row r="37" spans="1:8" x14ac:dyDescent="0.2">
      <c r="A37" s="2" t="s">
        <v>56</v>
      </c>
      <c r="B37" s="2" t="s">
        <v>57</v>
      </c>
      <c r="C37" s="2" t="s">
        <v>58</v>
      </c>
      <c r="D37"/>
      <c r="E37"/>
      <c r="F37"/>
      <c r="G37"/>
      <c r="H37"/>
    </row>
    <row r="38" spans="1:8" x14ac:dyDescent="0.2">
      <c r="A38" s="42" t="s">
        <v>59</v>
      </c>
      <c r="B38" s="43">
        <v>640.65</v>
      </c>
      <c r="C38" s="43">
        <v>416.68</v>
      </c>
      <c r="D38"/>
      <c r="E38"/>
      <c r="F38"/>
      <c r="G38"/>
      <c r="H38"/>
    </row>
    <row r="39" spans="1:8" x14ac:dyDescent="0.2">
      <c r="A39" s="44" t="s">
        <v>60</v>
      </c>
      <c r="B39" s="45">
        <v>480.55</v>
      </c>
      <c r="C39" s="45">
        <v>262.39999999999998</v>
      </c>
      <c r="D39"/>
      <c r="E39"/>
      <c r="F39"/>
      <c r="G39"/>
      <c r="H39"/>
    </row>
    <row r="40" spans="1:8" ht="45" x14ac:dyDescent="0.2">
      <c r="A40" s="46" t="s">
        <v>61</v>
      </c>
      <c r="B40" s="43">
        <v>480.55</v>
      </c>
      <c r="C40" s="43">
        <v>262.39999999999998</v>
      </c>
      <c r="D40"/>
      <c r="E40"/>
      <c r="F40"/>
      <c r="G40"/>
      <c r="H40"/>
    </row>
    <row r="41" spans="1:8" x14ac:dyDescent="0.2">
      <c r="A41" s="44" t="s">
        <v>62</v>
      </c>
      <c r="B41" s="45">
        <v>480.55</v>
      </c>
      <c r="C41" s="45">
        <v>262.39999999999998</v>
      </c>
      <c r="D41"/>
      <c r="E41"/>
      <c r="F41"/>
      <c r="G41"/>
      <c r="H41"/>
    </row>
    <row r="42" spans="1:8" x14ac:dyDescent="0.2">
      <c r="A42" s="199" t="s">
        <v>63</v>
      </c>
      <c r="B42" s="199"/>
      <c r="C42" s="199"/>
      <c r="D42"/>
      <c r="E42"/>
      <c r="F42"/>
      <c r="G42"/>
      <c r="H42"/>
    </row>
    <row r="43" spans="1:8" x14ac:dyDescent="0.2">
      <c r="A43" s="196" t="s">
        <v>64</v>
      </c>
      <c r="B43" s="196"/>
      <c r="C43" s="196"/>
      <c r="D43"/>
      <c r="E43"/>
      <c r="F43"/>
      <c r="G43"/>
      <c r="H43"/>
    </row>
  </sheetData>
  <mergeCells count="12">
    <mergeCell ref="A1:H1"/>
    <mergeCell ref="A2:A3"/>
    <mergeCell ref="B2:B3"/>
    <mergeCell ref="C2:C3"/>
    <mergeCell ref="D2:F2"/>
    <mergeCell ref="G2:G3"/>
    <mergeCell ref="H2:H3"/>
    <mergeCell ref="A33:C33"/>
    <mergeCell ref="G33:H33"/>
    <mergeCell ref="A36:C36"/>
    <mergeCell ref="A42:C42"/>
    <mergeCell ref="A43:C43"/>
  </mergeCells>
  <printOptions horizontalCentered="1"/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 r:id="rId1"/>
  <rowBreaks count="1" manualBreakCount="1">
    <brk id="35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0"/>
  <sheetViews>
    <sheetView zoomScale="160" zoomScaleNormal="160" workbookViewId="0">
      <selection activeCell="Q18" sqref="Q18"/>
    </sheetView>
  </sheetViews>
  <sheetFormatPr defaultRowHeight="12.75" x14ac:dyDescent="0.2"/>
  <cols>
    <col min="1" max="1" width="10.28515625" customWidth="1"/>
    <col min="2" max="2" width="10.7109375" customWidth="1"/>
    <col min="3" max="3" width="15.7109375" customWidth="1"/>
    <col min="4" max="4" width="10.85546875" customWidth="1"/>
    <col min="5" max="5" width="15.7109375" customWidth="1"/>
    <col min="6" max="6" width="10.7109375" customWidth="1"/>
    <col min="7" max="7" width="10.85546875" customWidth="1"/>
    <col min="8" max="1025" width="8.7109375" customWidth="1"/>
  </cols>
  <sheetData>
    <row r="1" spans="1:7" x14ac:dyDescent="0.2">
      <c r="A1" s="219" t="s">
        <v>270</v>
      </c>
      <c r="B1" s="219"/>
      <c r="C1" s="219"/>
      <c r="D1" s="219"/>
      <c r="E1" s="219"/>
      <c r="F1" s="219"/>
      <c r="G1" s="219"/>
    </row>
    <row r="2" spans="1:7" x14ac:dyDescent="0.2">
      <c r="A2" s="132"/>
      <c r="B2" s="220">
        <v>2019</v>
      </c>
      <c r="C2" s="220"/>
      <c r="D2" s="220">
        <v>2020</v>
      </c>
      <c r="E2" s="220"/>
      <c r="F2" s="133" t="s">
        <v>74</v>
      </c>
      <c r="G2" s="133"/>
    </row>
    <row r="3" spans="1:7" ht="12.75" customHeight="1" x14ac:dyDescent="0.2">
      <c r="A3" s="203" t="s">
        <v>76</v>
      </c>
      <c r="B3" s="203" t="s">
        <v>77</v>
      </c>
      <c r="C3" s="203" t="s">
        <v>78</v>
      </c>
      <c r="D3" s="203" t="s">
        <v>77</v>
      </c>
      <c r="E3" s="203" t="s">
        <v>78</v>
      </c>
      <c r="F3" s="201" t="s">
        <v>79</v>
      </c>
      <c r="G3" s="201" t="s">
        <v>80</v>
      </c>
    </row>
    <row r="4" spans="1:7" ht="18.75" customHeight="1" x14ac:dyDescent="0.2">
      <c r="A4" s="203"/>
      <c r="B4" s="203"/>
      <c r="C4" s="203"/>
      <c r="D4" s="203"/>
      <c r="E4" s="203"/>
      <c r="F4" s="201"/>
      <c r="G4" s="201"/>
    </row>
    <row r="5" spans="1:7" x14ac:dyDescent="0.2">
      <c r="A5" s="132" t="s">
        <v>85</v>
      </c>
      <c r="B5" s="134">
        <v>3071</v>
      </c>
      <c r="C5" s="135">
        <v>280663.53999999998</v>
      </c>
      <c r="D5" s="136">
        <v>3810</v>
      </c>
      <c r="E5" s="137">
        <v>365985.27</v>
      </c>
      <c r="F5" s="138">
        <f t="shared" ref="F5:F17" si="0">((D5/B5)*100)-100</f>
        <v>24.063822859003594</v>
      </c>
      <c r="G5" s="138">
        <f t="shared" ref="G5:G17" si="1">((E5/C5)*100)-100</f>
        <v>30.400004931171338</v>
      </c>
    </row>
    <row r="6" spans="1:7" x14ac:dyDescent="0.2">
      <c r="A6" s="68" t="s">
        <v>87</v>
      </c>
      <c r="B6" s="69">
        <v>3662</v>
      </c>
      <c r="C6" s="63">
        <v>336361.73</v>
      </c>
      <c r="D6" s="139">
        <v>3650</v>
      </c>
      <c r="E6" s="140">
        <f>330336.56</f>
        <v>330336.56</v>
      </c>
      <c r="F6" s="71">
        <f t="shared" si="0"/>
        <v>-0.32768978700164553</v>
      </c>
      <c r="G6" s="71">
        <f t="shared" si="1"/>
        <v>-1.7912769089396647</v>
      </c>
    </row>
    <row r="7" spans="1:7" x14ac:dyDescent="0.2">
      <c r="A7" s="132" t="s">
        <v>89</v>
      </c>
      <c r="B7" s="134">
        <v>3114</v>
      </c>
      <c r="C7" s="135">
        <v>281104.27</v>
      </c>
      <c r="D7" s="136">
        <v>3589</v>
      </c>
      <c r="E7" s="137">
        <v>319260.49</v>
      </c>
      <c r="F7" s="138">
        <f t="shared" si="0"/>
        <v>15.253692999357753</v>
      </c>
      <c r="G7" s="138">
        <f t="shared" si="1"/>
        <v>13.573689222152325</v>
      </c>
    </row>
    <row r="8" spans="1:7" x14ac:dyDescent="0.2">
      <c r="A8" s="68" t="s">
        <v>91</v>
      </c>
      <c r="B8" s="69">
        <v>3496</v>
      </c>
      <c r="C8" s="70">
        <v>312785.94</v>
      </c>
      <c r="D8" s="139">
        <v>2450</v>
      </c>
      <c r="E8" s="141">
        <v>222923.6</v>
      </c>
      <c r="F8" s="71">
        <f t="shared" si="0"/>
        <v>-29.919908466819223</v>
      </c>
      <c r="G8" s="71">
        <f t="shared" si="1"/>
        <v>-28.729660930411384</v>
      </c>
    </row>
    <row r="9" spans="1:7" x14ac:dyDescent="0.2">
      <c r="A9" s="132" t="s">
        <v>93</v>
      </c>
      <c r="B9" s="134">
        <v>3974</v>
      </c>
      <c r="C9" s="135">
        <v>358622.32</v>
      </c>
      <c r="D9" s="136">
        <v>2734</v>
      </c>
      <c r="E9" s="137">
        <v>248798.85</v>
      </c>
      <c r="F9" s="138">
        <f t="shared" si="0"/>
        <v>-31.202818319073984</v>
      </c>
      <c r="G9" s="138">
        <f t="shared" si="1"/>
        <v>-30.623712991427865</v>
      </c>
    </row>
    <row r="10" spans="1:7" x14ac:dyDescent="0.2">
      <c r="A10" s="68" t="s">
        <v>95</v>
      </c>
      <c r="B10" s="69">
        <v>3433</v>
      </c>
      <c r="C10" s="70">
        <v>311248.7</v>
      </c>
      <c r="D10" s="139">
        <v>3297</v>
      </c>
      <c r="E10" s="141">
        <v>286178.67</v>
      </c>
      <c r="F10" s="71">
        <f t="shared" si="0"/>
        <v>-3.9615496650160225</v>
      </c>
      <c r="G10" s="71">
        <f t="shared" si="1"/>
        <v>-8.0546617544105459</v>
      </c>
    </row>
    <row r="11" spans="1:7" x14ac:dyDescent="0.2">
      <c r="A11" s="132" t="s">
        <v>97</v>
      </c>
      <c r="B11" s="134">
        <v>4246</v>
      </c>
      <c r="C11" s="135">
        <v>383587.72</v>
      </c>
      <c r="D11" s="136">
        <v>4143</v>
      </c>
      <c r="E11" s="137">
        <v>374990.53</v>
      </c>
      <c r="F11" s="138">
        <f t="shared" si="0"/>
        <v>-2.4258125294394688</v>
      </c>
      <c r="G11" s="138">
        <f t="shared" si="1"/>
        <v>-2.2412578796839284</v>
      </c>
    </row>
    <row r="12" spans="1:7" x14ac:dyDescent="0.2">
      <c r="A12" s="68" t="s">
        <v>99</v>
      </c>
      <c r="B12" s="72">
        <v>4023</v>
      </c>
      <c r="C12" s="73">
        <v>363210.93</v>
      </c>
      <c r="D12" s="139">
        <v>4278</v>
      </c>
      <c r="E12" s="141">
        <v>401660.12</v>
      </c>
      <c r="F12" s="71">
        <f t="shared" si="0"/>
        <v>6.3385533184190876</v>
      </c>
      <c r="G12" s="71">
        <f t="shared" si="1"/>
        <v>10.58591215853555</v>
      </c>
    </row>
    <row r="13" spans="1:7" x14ac:dyDescent="0.2">
      <c r="A13" s="132" t="s">
        <v>100</v>
      </c>
      <c r="B13" s="134">
        <v>4004</v>
      </c>
      <c r="C13" s="135">
        <v>360703.14</v>
      </c>
      <c r="D13" s="136">
        <v>4351</v>
      </c>
      <c r="E13" s="137">
        <v>406291.21</v>
      </c>
      <c r="F13" s="138">
        <f t="shared" si="0"/>
        <v>8.6663336663336707</v>
      </c>
      <c r="G13" s="138">
        <f t="shared" si="1"/>
        <v>12.638667353990883</v>
      </c>
    </row>
    <row r="14" spans="1:7" x14ac:dyDescent="0.2">
      <c r="A14" s="68" t="s">
        <v>102</v>
      </c>
      <c r="B14" s="69">
        <v>4131</v>
      </c>
      <c r="C14" s="70">
        <f>Comparativos!C15</f>
        <v>341363.94</v>
      </c>
      <c r="D14" s="139">
        <v>4228</v>
      </c>
      <c r="E14" s="141">
        <v>385771.1</v>
      </c>
      <c r="F14" s="71">
        <f t="shared" si="0"/>
        <v>2.3480997337206588</v>
      </c>
      <c r="G14" s="71">
        <f t="shared" si="1"/>
        <v>13.008743688627433</v>
      </c>
    </row>
    <row r="15" spans="1:7" x14ac:dyDescent="0.2">
      <c r="A15" s="132" t="s">
        <v>104</v>
      </c>
      <c r="B15" s="142">
        <v>4040</v>
      </c>
      <c r="C15" s="135">
        <f>Comparativos!C16</f>
        <v>316181.03000000003</v>
      </c>
      <c r="D15" s="143">
        <v>4410</v>
      </c>
      <c r="E15" s="137">
        <f>406667.17</f>
        <v>406667.17</v>
      </c>
      <c r="F15" s="138">
        <f t="shared" si="0"/>
        <v>9.1584158415841728</v>
      </c>
      <c r="G15" s="138">
        <f t="shared" si="1"/>
        <v>28.618459494549654</v>
      </c>
    </row>
    <row r="16" spans="1:7" x14ac:dyDescent="0.2">
      <c r="A16" s="68" t="s">
        <v>105</v>
      </c>
      <c r="B16" s="76">
        <v>3900</v>
      </c>
      <c r="C16" s="70">
        <v>349091.25</v>
      </c>
      <c r="D16" s="76"/>
      <c r="E16" s="70"/>
      <c r="F16" s="71">
        <f t="shared" si="0"/>
        <v>-100</v>
      </c>
      <c r="G16" s="71">
        <f t="shared" si="1"/>
        <v>-100</v>
      </c>
    </row>
    <row r="17" spans="1:7" x14ac:dyDescent="0.2">
      <c r="A17" s="132" t="s">
        <v>106</v>
      </c>
      <c r="B17" s="134">
        <f>SUM(B5:B16)</f>
        <v>45094</v>
      </c>
      <c r="C17" s="135">
        <f>SUM(C5:C16)</f>
        <v>3994924.51</v>
      </c>
      <c r="D17" s="134">
        <f>SUM(D5:D16)</f>
        <v>40940</v>
      </c>
      <c r="E17" s="135">
        <f>SUM(E5:E16)</f>
        <v>3748863.5700000003</v>
      </c>
      <c r="F17" s="138">
        <f t="shared" si="0"/>
        <v>-9.2118685412693537</v>
      </c>
      <c r="G17" s="138">
        <f t="shared" si="1"/>
        <v>-6.1593389157683873</v>
      </c>
    </row>
    <row r="18" spans="1:7" x14ac:dyDescent="0.2">
      <c r="A18" s="144" t="s">
        <v>271</v>
      </c>
      <c r="B18" s="145">
        <f>B17/12</f>
        <v>3757.8333333333335</v>
      </c>
      <c r="C18" s="145"/>
      <c r="D18" s="145">
        <f>D17/12</f>
        <v>3411.6666666666665</v>
      </c>
      <c r="E18" s="58"/>
    </row>
    <row r="19" spans="1:7" x14ac:dyDescent="0.2">
      <c r="A19" s="144" t="s">
        <v>272</v>
      </c>
      <c r="B19" s="146">
        <f>SUM(B5:B10)/6</f>
        <v>3458.3333333333335</v>
      </c>
      <c r="C19" s="145"/>
      <c r="D19" s="146">
        <f>SUM(D5:D10)/6</f>
        <v>3255</v>
      </c>
      <c r="E19" s="147"/>
    </row>
    <row r="20" spans="1:7" x14ac:dyDescent="0.2">
      <c r="A20" s="144" t="s">
        <v>273</v>
      </c>
      <c r="B20" s="146">
        <f>SUM(B11:B16)/6</f>
        <v>4057.3333333333335</v>
      </c>
      <c r="C20" s="145"/>
      <c r="D20" s="146">
        <f>SUM(D11:D16)/6</f>
        <v>3568.3333333333335</v>
      </c>
      <c r="E20" s="145"/>
    </row>
  </sheetData>
  <mergeCells count="10">
    <mergeCell ref="A1:G1"/>
    <mergeCell ref="B2:C2"/>
    <mergeCell ref="D2:E2"/>
    <mergeCell ref="A3:A4"/>
    <mergeCell ref="B3:B4"/>
    <mergeCell ref="C3:C4"/>
    <mergeCell ref="D3:D4"/>
    <mergeCell ref="E3:E4"/>
    <mergeCell ref="F3:F4"/>
    <mergeCell ref="G3:G4"/>
  </mergeCells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AMK16"/>
  <sheetViews>
    <sheetView zoomScale="160" zoomScaleNormal="160" workbookViewId="0">
      <selection activeCell="F17" sqref="F17"/>
    </sheetView>
  </sheetViews>
  <sheetFormatPr defaultRowHeight="12.75" x14ac:dyDescent="0.2"/>
  <cols>
    <col min="1" max="1" width="24.5703125" style="47" customWidth="1"/>
    <col min="2" max="2" width="11.140625" style="47" customWidth="1"/>
    <col min="3" max="3" width="11.7109375" style="47" customWidth="1"/>
    <col min="4" max="4" width="8.28515625" style="47" customWidth="1"/>
    <col min="5" max="5" width="9.28515625" style="47" customWidth="1"/>
    <col min="6" max="6" width="10.85546875" style="47" customWidth="1"/>
    <col min="7" max="7" width="44.28515625" style="47" customWidth="1"/>
    <col min="8" max="1025" width="9.140625" style="47" customWidth="1"/>
  </cols>
  <sheetData>
    <row r="1" spans="1:8" ht="11.85" customHeight="1" x14ac:dyDescent="0.2">
      <c r="A1" s="198" t="s">
        <v>0</v>
      </c>
      <c r="B1" s="198"/>
      <c r="C1" s="198"/>
      <c r="D1" s="198"/>
      <c r="E1" s="198"/>
      <c r="F1" s="198"/>
      <c r="G1" s="198"/>
      <c r="H1" s="198"/>
    </row>
    <row r="2" spans="1:8" ht="11.85" customHeight="1" x14ac:dyDescent="0.2">
      <c r="A2" s="196" t="s">
        <v>1</v>
      </c>
      <c r="B2" s="196" t="s">
        <v>2</v>
      </c>
      <c r="C2" s="196" t="s">
        <v>3</v>
      </c>
      <c r="D2" s="200" t="s">
        <v>4</v>
      </c>
      <c r="E2" s="200"/>
      <c r="F2" s="200"/>
      <c r="G2" s="196" t="s">
        <v>5</v>
      </c>
      <c r="H2" s="196" t="s">
        <v>6</v>
      </c>
    </row>
    <row r="3" spans="1:8" ht="11.85" customHeight="1" x14ac:dyDescent="0.2">
      <c r="A3" s="196"/>
      <c r="B3" s="196"/>
      <c r="C3" s="196"/>
      <c r="D3" s="3" t="s">
        <v>7</v>
      </c>
      <c r="E3" s="3" t="s">
        <v>8</v>
      </c>
      <c r="F3" s="3" t="s">
        <v>9</v>
      </c>
      <c r="G3" s="196"/>
      <c r="H3" s="196"/>
    </row>
    <row r="4" spans="1:8" ht="11.85" customHeight="1" x14ac:dyDescent="0.2">
      <c r="A4" s="148"/>
      <c r="B4" s="5"/>
      <c r="C4" s="9"/>
      <c r="D4" s="7"/>
      <c r="E4" s="8"/>
      <c r="F4" s="8"/>
      <c r="G4" s="9"/>
      <c r="H4" s="48"/>
    </row>
    <row r="5" spans="1:8" x14ac:dyDescent="0.2">
      <c r="A5" s="149"/>
      <c r="B5" s="39"/>
      <c r="C5" s="13"/>
      <c r="D5" s="12"/>
      <c r="E5" s="40"/>
      <c r="F5" s="40"/>
      <c r="G5" s="13"/>
      <c r="H5" s="56"/>
    </row>
    <row r="6" spans="1:8" x14ac:dyDescent="0.2">
      <c r="A6" s="196"/>
      <c r="B6" s="196"/>
      <c r="C6" s="196"/>
      <c r="D6" s="3" t="s">
        <v>54</v>
      </c>
      <c r="E6" s="41">
        <f>SUM(E4:E5)</f>
        <v>0</v>
      </c>
      <c r="F6" s="41">
        <f>SUM(F4:F5)</f>
        <v>0</v>
      </c>
      <c r="G6" s="197"/>
      <c r="H6" s="197"/>
    </row>
    <row r="7" spans="1:8" x14ac:dyDescent="0.2">
      <c r="A7"/>
      <c r="B7"/>
      <c r="C7"/>
      <c r="D7"/>
      <c r="E7"/>
      <c r="F7"/>
      <c r="G7"/>
      <c r="H7"/>
    </row>
    <row r="8" spans="1:8" x14ac:dyDescent="0.2">
      <c r="A8"/>
      <c r="B8"/>
      <c r="C8"/>
      <c r="D8"/>
      <c r="E8"/>
      <c r="F8"/>
      <c r="G8"/>
      <c r="H8"/>
    </row>
    <row r="9" spans="1:8" x14ac:dyDescent="0.2">
      <c r="A9" s="198" t="s">
        <v>55</v>
      </c>
      <c r="B9" s="198"/>
      <c r="C9" s="198"/>
      <c r="D9"/>
      <c r="E9"/>
      <c r="F9"/>
      <c r="G9"/>
      <c r="H9"/>
    </row>
    <row r="10" spans="1:8" x14ac:dyDescent="0.2">
      <c r="A10" s="2" t="s">
        <v>56</v>
      </c>
      <c r="B10" s="2" t="s">
        <v>57</v>
      </c>
      <c r="C10" s="2" t="s">
        <v>58</v>
      </c>
      <c r="D10"/>
      <c r="E10"/>
      <c r="F10"/>
      <c r="G10"/>
      <c r="H10"/>
    </row>
    <row r="11" spans="1:8" x14ac:dyDescent="0.2">
      <c r="A11" s="42" t="s">
        <v>59</v>
      </c>
      <c r="B11" s="43">
        <v>640.65</v>
      </c>
      <c r="C11" s="43">
        <v>416.68</v>
      </c>
      <c r="D11"/>
      <c r="E11"/>
      <c r="F11"/>
      <c r="G11"/>
      <c r="H11"/>
    </row>
    <row r="12" spans="1:8" x14ac:dyDescent="0.2">
      <c r="A12" s="44" t="s">
        <v>60</v>
      </c>
      <c r="B12" s="45">
        <v>480.55</v>
      </c>
      <c r="C12" s="45">
        <v>262.39999999999998</v>
      </c>
      <c r="D12"/>
      <c r="E12"/>
      <c r="F12"/>
      <c r="G12"/>
      <c r="H12"/>
    </row>
    <row r="13" spans="1:8" ht="56.25" x14ac:dyDescent="0.2">
      <c r="A13" s="46" t="s">
        <v>61</v>
      </c>
      <c r="B13" s="43">
        <v>480.55</v>
      </c>
      <c r="C13" s="43">
        <v>262.39999999999998</v>
      </c>
      <c r="D13"/>
      <c r="E13"/>
      <c r="F13"/>
      <c r="G13"/>
      <c r="H13"/>
    </row>
    <row r="14" spans="1:8" x14ac:dyDescent="0.2">
      <c r="A14" s="44" t="s">
        <v>62</v>
      </c>
      <c r="B14" s="45">
        <v>480.55</v>
      </c>
      <c r="C14" s="45">
        <v>262.39999999999998</v>
      </c>
      <c r="D14"/>
      <c r="E14"/>
      <c r="F14"/>
      <c r="G14"/>
      <c r="H14"/>
    </row>
    <row r="15" spans="1:8" x14ac:dyDescent="0.2">
      <c r="A15" s="199" t="s">
        <v>63</v>
      </c>
      <c r="B15" s="199"/>
      <c r="C15" s="199"/>
      <c r="D15"/>
      <c r="E15"/>
      <c r="F15"/>
      <c r="G15"/>
      <c r="H15"/>
    </row>
    <row r="16" spans="1:8" x14ac:dyDescent="0.2">
      <c r="A16" s="196" t="s">
        <v>64</v>
      </c>
      <c r="B16" s="196"/>
      <c r="C16" s="196"/>
      <c r="D16"/>
      <c r="E16"/>
      <c r="F16"/>
      <c r="G16"/>
      <c r="H16"/>
    </row>
  </sheetData>
  <mergeCells count="12">
    <mergeCell ref="A1:H1"/>
    <mergeCell ref="A2:A3"/>
    <mergeCell ref="B2:B3"/>
    <mergeCell ref="C2:C3"/>
    <mergeCell ref="D2:F2"/>
    <mergeCell ref="G2:G3"/>
    <mergeCell ref="H2:H3"/>
    <mergeCell ref="A6:C6"/>
    <mergeCell ref="G6:H6"/>
    <mergeCell ref="A9:C9"/>
    <mergeCell ref="A15:C15"/>
    <mergeCell ref="A16:C16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G110"/>
  <sheetViews>
    <sheetView topLeftCell="B82" zoomScale="160" zoomScaleNormal="160" workbookViewId="0">
      <selection activeCell="J3" sqref="J3"/>
    </sheetView>
  </sheetViews>
  <sheetFormatPr defaultRowHeight="12.75" x14ac:dyDescent="0.2"/>
  <cols>
    <col min="1" max="1" width="16.28515625" style="94" customWidth="1"/>
    <col min="2" max="2" width="14.85546875" style="94" customWidth="1"/>
    <col min="3" max="3" width="13.7109375" style="94" customWidth="1"/>
    <col min="4" max="4" width="14.140625" style="94" customWidth="1"/>
    <col min="5" max="5" width="10.85546875" style="94" customWidth="1"/>
    <col min="6" max="6" width="11" style="94" customWidth="1"/>
    <col min="7" max="7" width="10.85546875" style="94" customWidth="1"/>
    <col min="8" max="8" width="27.140625" style="94" customWidth="1"/>
    <col min="9" max="9" width="8.7109375" style="94" customWidth="1"/>
    <col min="10" max="10" width="34.7109375" style="94" customWidth="1"/>
    <col min="11" max="11" width="10.85546875" style="94" customWidth="1"/>
    <col min="12" max="12" width="11.7109375" style="94" customWidth="1"/>
    <col min="13" max="1021" width="8.7109375" style="94" customWidth="1"/>
    <col min="1022" max="1025" width="8.7109375" customWidth="1"/>
  </cols>
  <sheetData>
    <row r="1" spans="1:12" ht="21" customHeight="1" x14ac:dyDescent="0.2">
      <c r="A1" s="221" t="s">
        <v>274</v>
      </c>
      <c r="B1" s="221"/>
      <c r="C1" s="221"/>
      <c r="D1" s="221"/>
      <c r="E1" s="221"/>
      <c r="F1" s="221"/>
      <c r="G1" s="221"/>
    </row>
    <row r="2" spans="1:12" ht="39" customHeight="1" x14ac:dyDescent="0.2">
      <c r="A2" s="150" t="s">
        <v>253</v>
      </c>
      <c r="B2" s="151" t="s">
        <v>275</v>
      </c>
      <c r="C2" s="152" t="s">
        <v>276</v>
      </c>
      <c r="D2" s="152" t="s">
        <v>277</v>
      </c>
      <c r="E2" s="151" t="s">
        <v>278</v>
      </c>
      <c r="F2" s="151" t="s">
        <v>279</v>
      </c>
      <c r="G2" s="151" t="s">
        <v>280</v>
      </c>
    </row>
    <row r="3" spans="1:12" x14ac:dyDescent="0.2">
      <c r="A3" s="94" t="s">
        <v>281</v>
      </c>
      <c r="B3" s="153">
        <f>7567443.28+648025.6</f>
        <v>8215468.8799999999</v>
      </c>
      <c r="C3" s="153">
        <f>2304402.82+158931.41+204843.59+57646.96</f>
        <v>2725824.78</v>
      </c>
      <c r="D3" s="153">
        <f>738041.79+69621.94</f>
        <v>807663.73</v>
      </c>
      <c r="E3" s="153">
        <f>33792.34</f>
        <v>33792.339999999997</v>
      </c>
      <c r="F3" s="153">
        <v>0</v>
      </c>
      <c r="G3" s="154">
        <f t="shared" ref="G3:G34" si="0">((C3+D3)-(E3+F3))/B3*100</f>
        <v>42.598861015952139</v>
      </c>
      <c r="J3" s="222" t="s">
        <v>282</v>
      </c>
      <c r="K3" s="222"/>
      <c r="L3" s="222"/>
    </row>
    <row r="4" spans="1:12" x14ac:dyDescent="0.2">
      <c r="A4" s="94" t="s">
        <v>283</v>
      </c>
      <c r="B4" s="153">
        <f>6595836.42+1435394.27</f>
        <v>8031230.6899999995</v>
      </c>
      <c r="C4" s="153">
        <f>2126658.32+130481.74+399467.83+85704.19</f>
        <v>2742312.08</v>
      </c>
      <c r="D4" s="153">
        <f>682776.3+134398.63</f>
        <v>817174.93</v>
      </c>
      <c r="E4" s="153">
        <f>33667.2</f>
        <v>33667.199999999997</v>
      </c>
      <c r="F4" s="153">
        <v>0</v>
      </c>
      <c r="G4" s="154">
        <f t="shared" si="0"/>
        <v>43.901363889224811</v>
      </c>
      <c r="J4" s="77"/>
      <c r="K4" s="77"/>
      <c r="L4" s="77"/>
    </row>
    <row r="5" spans="1:12" x14ac:dyDescent="0.2">
      <c r="A5" s="94" t="s">
        <v>284</v>
      </c>
      <c r="B5" s="153">
        <f>5811349.8+2425327.24</f>
        <v>8236677.04</v>
      </c>
      <c r="C5" s="153">
        <f>1944565.99+114212.35+598410.68+97499.99</f>
        <v>2754689.0100000002</v>
      </c>
      <c r="D5" s="153">
        <f>621813.84+204771.37</f>
        <v>826585.21</v>
      </c>
      <c r="E5" s="153">
        <f>33667.2</f>
        <v>33667.199999999997</v>
      </c>
      <c r="F5" s="153">
        <v>0</v>
      </c>
      <c r="G5" s="154">
        <f t="shared" si="0"/>
        <v>43.070852514571826</v>
      </c>
      <c r="J5" s="155" t="s">
        <v>285</v>
      </c>
      <c r="K5" s="155"/>
      <c r="L5" s="100">
        <f>B110+190056.37</f>
        <v>13824850</v>
      </c>
    </row>
    <row r="6" spans="1:12" x14ac:dyDescent="0.2">
      <c r="A6" s="94" t="s">
        <v>286</v>
      </c>
      <c r="B6" s="153">
        <f>4678531.43+4250184.07</f>
        <v>8928715.5</v>
      </c>
      <c r="C6" s="153">
        <f>1751975.21+96288.93+800938.54+98786.15</f>
        <v>2747988.8299999996</v>
      </c>
      <c r="D6" s="153">
        <f>563471.38+271994.43</f>
        <v>835465.81</v>
      </c>
      <c r="E6" s="153">
        <f>33667.2+1348.71</f>
        <v>35015.909999999996</v>
      </c>
      <c r="F6" s="153">
        <v>0</v>
      </c>
      <c r="G6" s="154">
        <f t="shared" si="0"/>
        <v>39.741872501145316</v>
      </c>
      <c r="J6" s="155"/>
      <c r="K6" s="155"/>
      <c r="L6" s="100"/>
    </row>
    <row r="7" spans="1:12" x14ac:dyDescent="0.2">
      <c r="A7" s="94" t="s">
        <v>287</v>
      </c>
      <c r="B7" s="153">
        <f>4107647.1+4870109.63</f>
        <v>8977756.7300000004</v>
      </c>
      <c r="C7" s="153">
        <f>1565661.97+90995.85+1019431.9+124507.15</f>
        <v>2800596.87</v>
      </c>
      <c r="D7" s="153">
        <f>502489.51+337550.59</f>
        <v>840040.10000000009</v>
      </c>
      <c r="E7" s="153">
        <f>33667.2+1348.71</f>
        <v>35015.909999999996</v>
      </c>
      <c r="F7" s="153">
        <v>0</v>
      </c>
      <c r="G7" s="154">
        <f t="shared" si="0"/>
        <v>40.16171487417882</v>
      </c>
      <c r="J7" s="77"/>
      <c r="K7" s="77"/>
      <c r="L7" s="77"/>
    </row>
    <row r="8" spans="1:12" x14ac:dyDescent="0.2">
      <c r="A8" s="94" t="s">
        <v>288</v>
      </c>
      <c r="B8" s="153">
        <f>3565167.96+5376840.54</f>
        <v>8942008.5</v>
      </c>
      <c r="C8" s="153">
        <f>1350182.17+52054.62+1231297.93+179518.5</f>
        <v>2813053.2199999997</v>
      </c>
      <c r="D8" s="153">
        <f>434871.09+408295.38</f>
        <v>843166.47</v>
      </c>
      <c r="E8" s="153">
        <f>30185.43+3061.24</f>
        <v>33246.67</v>
      </c>
      <c r="F8" s="153">
        <v>0</v>
      </c>
      <c r="G8" s="154">
        <f t="shared" si="0"/>
        <v>40.5163227031153</v>
      </c>
      <c r="J8" s="156" t="s">
        <v>289</v>
      </c>
      <c r="K8" s="156"/>
      <c r="L8" s="77">
        <v>190056.37</v>
      </c>
    </row>
    <row r="9" spans="1:12" x14ac:dyDescent="0.2">
      <c r="A9" s="94" t="s">
        <v>290</v>
      </c>
      <c r="B9" s="153">
        <f>3059241.95+5909333.62</f>
        <v>8968575.5700000003</v>
      </c>
      <c r="C9" s="153">
        <f>1167086.75+32723.86+1424796.16+210466.71</f>
        <v>2835073.48</v>
      </c>
      <c r="D9" s="153">
        <f>370482.14+481912.16</f>
        <v>852394.3</v>
      </c>
      <c r="E9" s="153">
        <f>30185.43+3215.58</f>
        <v>33401.01</v>
      </c>
      <c r="F9" s="153">
        <v>0</v>
      </c>
      <c r="G9" s="154">
        <f t="shared" si="0"/>
        <v>40.743000284492226</v>
      </c>
      <c r="J9" s="77"/>
      <c r="K9" s="77"/>
      <c r="L9" s="77"/>
    </row>
    <row r="10" spans="1:12" x14ac:dyDescent="0.2">
      <c r="A10" s="94" t="s">
        <v>291</v>
      </c>
      <c r="B10" s="153">
        <f>2132130.86+6388548.77</f>
        <v>8520679.629999999</v>
      </c>
      <c r="C10" s="153">
        <f>971771.19+27515.56+1627520.42+225472.6</f>
        <v>2852279.77</v>
      </c>
      <c r="D10" s="153">
        <f>306461.66+550025.03</f>
        <v>856486.69</v>
      </c>
      <c r="E10" s="153">
        <f>27032.61+15119.24</f>
        <v>42151.85</v>
      </c>
      <c r="F10" s="153">
        <v>0</v>
      </c>
      <c r="G10" s="154">
        <f t="shared" si="0"/>
        <v>43.031950140343447</v>
      </c>
      <c r="J10" s="155" t="s">
        <v>292</v>
      </c>
      <c r="K10" s="155"/>
      <c r="L10" s="100">
        <f>L5-L8</f>
        <v>13634793.630000001</v>
      </c>
    </row>
    <row r="11" spans="1:12" x14ac:dyDescent="0.2">
      <c r="A11" s="94" t="s">
        <v>293</v>
      </c>
      <c r="B11" s="153">
        <f>1665858.18+6801218.86</f>
        <v>8467077.040000001</v>
      </c>
      <c r="C11" s="153">
        <f>758081.99+16634.56+1822532.53+228499.97</f>
        <v>2825749.0500000003</v>
      </c>
      <c r="D11" s="153">
        <f>247119.78+615063.21</f>
        <v>862182.99</v>
      </c>
      <c r="E11" s="153">
        <f>11903.67+15119.24</f>
        <v>27022.91</v>
      </c>
      <c r="F11" s="153">
        <v>0</v>
      </c>
      <c r="G11" s="154">
        <f t="shared" si="0"/>
        <v>43.236988546403957</v>
      </c>
      <c r="J11" s="77"/>
      <c r="K11" s="77"/>
      <c r="L11" s="77"/>
    </row>
    <row r="12" spans="1:12" x14ac:dyDescent="0.2">
      <c r="A12" s="94" t="s">
        <v>294</v>
      </c>
      <c r="B12" s="153">
        <f>1153059.86+7223926.84</f>
        <v>8376986.7000000002</v>
      </c>
      <c r="C12" s="153">
        <f>578239.84+5983.75+2142469.1+245406.84</f>
        <v>2972099.53</v>
      </c>
      <c r="D12" s="153">
        <f>190500.81+686183.07</f>
        <v>876683.87999999989</v>
      </c>
      <c r="E12" s="153">
        <f>11903.67+17744.14</f>
        <v>29647.809999999998</v>
      </c>
      <c r="F12" s="153">
        <v>0</v>
      </c>
      <c r="G12" s="154">
        <f t="shared" si="0"/>
        <v>45.5908041491817</v>
      </c>
      <c r="J12" s="156" t="s">
        <v>295</v>
      </c>
      <c r="K12" s="156"/>
      <c r="L12" s="77">
        <f>C110</f>
        <v>6252637.0199999996</v>
      </c>
    </row>
    <row r="13" spans="1:12" x14ac:dyDescent="0.2">
      <c r="A13" s="94" t="s">
        <v>296</v>
      </c>
      <c r="B13" s="153">
        <f>664659.09+7595438.57</f>
        <v>8260097.6600000001</v>
      </c>
      <c r="C13" s="153">
        <f>375224.24+3027.6+2341897.7+266280.21</f>
        <v>2986429.75</v>
      </c>
      <c r="D13" s="153">
        <f>131532.3+756504.01</f>
        <v>888036.31</v>
      </c>
      <c r="E13" s="153">
        <v>17744.14</v>
      </c>
      <c r="F13" s="153">
        <v>0</v>
      </c>
      <c r="G13" s="154">
        <f t="shared" si="0"/>
        <v>46.690996629209344</v>
      </c>
      <c r="J13" s="77"/>
      <c r="K13" s="77"/>
      <c r="L13" s="77"/>
    </row>
    <row r="14" spans="1:12" x14ac:dyDescent="0.2">
      <c r="A14" s="94" t="s">
        <v>297</v>
      </c>
      <c r="B14" s="153">
        <f>7926323.84</f>
        <v>7926323.8399999999</v>
      </c>
      <c r="C14" s="153">
        <f>2630983.85+266280.21</f>
        <v>2897264.06</v>
      </c>
      <c r="D14" s="153">
        <f>894799.61</f>
        <v>894799.61</v>
      </c>
      <c r="E14" s="153">
        <f>17744.14</f>
        <v>17744.14</v>
      </c>
      <c r="F14" s="153">
        <v>0</v>
      </c>
      <c r="G14" s="154">
        <f t="shared" si="0"/>
        <v>47.617528707986779</v>
      </c>
      <c r="J14" s="155" t="s">
        <v>298</v>
      </c>
      <c r="K14" s="155"/>
      <c r="L14" s="100">
        <f>E110</f>
        <v>33256.959999999999</v>
      </c>
    </row>
    <row r="15" spans="1:12" x14ac:dyDescent="0.2">
      <c r="A15" s="94" t="s">
        <v>299</v>
      </c>
      <c r="B15" s="153">
        <f>7278298.24+1031868.32</f>
        <v>8310166.5600000005</v>
      </c>
      <c r="C15" s="153">
        <f>2426140.26+208633.25+355708.55</f>
        <v>2990482.0599999996</v>
      </c>
      <c r="D15" s="153">
        <f>825177.67</f>
        <v>825177.67</v>
      </c>
      <c r="E15" s="153">
        <f>17744.14+11535.58</f>
        <v>29279.72</v>
      </c>
      <c r="F15" s="153">
        <v>0</v>
      </c>
      <c r="G15" s="154">
        <f t="shared" si="0"/>
        <v>45.563226472803677</v>
      </c>
      <c r="J15" s="77"/>
      <c r="K15" s="77"/>
      <c r="L15" s="77"/>
    </row>
    <row r="16" spans="1:12" x14ac:dyDescent="0.2">
      <c r="A16" s="94" t="s">
        <v>300</v>
      </c>
      <c r="B16" s="153">
        <f>6490929.57+2084496.78</f>
        <v>8575426.3499999996</v>
      </c>
      <c r="C16" s="153">
        <f>2231516.02+180576.02+627846.44</f>
        <v>3039938.48</v>
      </c>
      <c r="D16" s="153">
        <f>760400.98+154729.45</f>
        <v>915130.42999999993</v>
      </c>
      <c r="E16" s="153">
        <f>17744.14+11535.58</f>
        <v>29279.72</v>
      </c>
      <c r="F16" s="153">
        <v>0</v>
      </c>
      <c r="G16" s="154">
        <f t="shared" si="0"/>
        <v>45.779521970939676</v>
      </c>
      <c r="J16" s="156" t="s">
        <v>301</v>
      </c>
      <c r="K16" s="156"/>
      <c r="L16" s="77">
        <f>F104</f>
        <v>0</v>
      </c>
    </row>
    <row r="17" spans="1:12" x14ac:dyDescent="0.2">
      <c r="A17" s="157" t="s">
        <v>302</v>
      </c>
      <c r="B17" s="153">
        <f>5500996.6+3002192.26</f>
        <v>8503188.8599999994</v>
      </c>
      <c r="C17" s="153">
        <f>2032573.17+168780.22+878896.78</f>
        <v>3080250.17</v>
      </c>
      <c r="D17" s="153">
        <f>690028.24+176038.21</f>
        <v>866066.45</v>
      </c>
      <c r="E17" s="153">
        <f>17744.14+11535.58</f>
        <v>29279.72</v>
      </c>
      <c r="F17" s="153">
        <v>0</v>
      </c>
      <c r="G17" s="154">
        <f t="shared" si="0"/>
        <v>46.065505123921241</v>
      </c>
      <c r="J17" s="68"/>
      <c r="K17" s="68"/>
      <c r="L17" s="68"/>
    </row>
    <row r="18" spans="1:12" x14ac:dyDescent="0.2">
      <c r="A18" s="94" t="s">
        <v>303</v>
      </c>
      <c r="B18" s="153">
        <f>3676139.77+4681372.23</f>
        <v>8357512</v>
      </c>
      <c r="C18" s="153">
        <f>1830045.31+167494.06+1088037.99</f>
        <v>3085577.3600000003</v>
      </c>
      <c r="D18" s="153">
        <f>622805.18+257143.83</f>
        <v>879949.01</v>
      </c>
      <c r="E18" s="153">
        <f>16395.43+20055.6</f>
        <v>36451.03</v>
      </c>
      <c r="F18" s="153">
        <v>0</v>
      </c>
      <c r="G18" s="154">
        <f t="shared" si="0"/>
        <v>47.012500131618125</v>
      </c>
      <c r="J18" s="155" t="s">
        <v>304</v>
      </c>
      <c r="K18" s="155"/>
      <c r="L18" s="100">
        <f>D110</f>
        <v>2318848.71</v>
      </c>
    </row>
    <row r="19" spans="1:12" x14ac:dyDescent="0.2">
      <c r="A19" s="94" t="s">
        <v>305</v>
      </c>
      <c r="B19" s="153">
        <f>3056214.21+5419984.03</f>
        <v>8476198.2400000002</v>
      </c>
      <c r="C19" s="153">
        <f>1611551.95+141773.06+1321124.45</f>
        <v>3074449.46</v>
      </c>
      <c r="D19" s="153">
        <f>557249.02+335040.35</f>
        <v>892289.37</v>
      </c>
      <c r="E19" s="153">
        <f>16395.43+20055.6</f>
        <v>36451.03</v>
      </c>
      <c r="F19" s="153">
        <v>0</v>
      </c>
      <c r="G19" s="154">
        <f t="shared" si="0"/>
        <v>46.368521461102588</v>
      </c>
      <c r="J19" s="77"/>
      <c r="K19" s="77"/>
      <c r="L19" s="77"/>
    </row>
    <row r="20" spans="1:12" x14ac:dyDescent="0.2">
      <c r="A20" s="94" t="s">
        <v>306</v>
      </c>
      <c r="B20" s="153">
        <f>2549483.3+6120238.59</f>
        <v>8669721.8900000006</v>
      </c>
      <c r="C20" s="153">
        <f>1399685.92+86761.71+1679521.75</f>
        <v>3165969.38</v>
      </c>
      <c r="D20" s="153">
        <f>486504.23+408002.52</f>
        <v>894506.75</v>
      </c>
      <c r="E20" s="153">
        <f>14682.9+20055.6</f>
        <v>34738.5</v>
      </c>
      <c r="F20" s="153">
        <v>0</v>
      </c>
      <c r="G20" s="154">
        <f t="shared" si="0"/>
        <v>46.434449467674902</v>
      </c>
      <c r="J20" s="44" t="s">
        <v>307</v>
      </c>
      <c r="K20" s="44"/>
      <c r="L20" s="77">
        <f>L12+L18-L14-L16</f>
        <v>8538228.7699999996</v>
      </c>
    </row>
    <row r="21" spans="1:12" x14ac:dyDescent="0.2">
      <c r="A21" s="94" t="s">
        <v>308</v>
      </c>
      <c r="B21" s="153">
        <f>2016990.22+6749169.01</f>
        <v>8766159.2300000004</v>
      </c>
      <c r="C21" s="153">
        <f>1206187.69+55813.5+1944103.18</f>
        <v>3206104.37</v>
      </c>
      <c r="D21" s="153">
        <f>412887.45+441473.02</f>
        <v>854360.47</v>
      </c>
      <c r="E21" s="153">
        <f>14528.56+20055.6</f>
        <v>34584.159999999996</v>
      </c>
      <c r="F21" s="153">
        <v>0</v>
      </c>
      <c r="G21" s="154">
        <f t="shared" si="0"/>
        <v>45.925251576795731</v>
      </c>
      <c r="J21" s="58"/>
      <c r="K21" s="58"/>
      <c r="L21" s="58"/>
    </row>
    <row r="22" spans="1:12" x14ac:dyDescent="0.2">
      <c r="A22" s="94" t="s">
        <v>309</v>
      </c>
      <c r="B22" s="153">
        <f>1537775.07+7322556.22</f>
        <v>8860331.2899999991</v>
      </c>
      <c r="C22" s="153">
        <f>1003463.43+40807.61+2192820.97</f>
        <v>3237092.0100000002</v>
      </c>
      <c r="D22" s="153">
        <f>344774.58+526861.42</f>
        <v>871636</v>
      </c>
      <c r="E22" s="153">
        <f>2624.9+21066</f>
        <v>23690.9</v>
      </c>
      <c r="F22" s="153">
        <v>0</v>
      </c>
      <c r="G22" s="154">
        <f t="shared" si="0"/>
        <v>46.104789722823114</v>
      </c>
      <c r="J22" s="223" t="s">
        <v>310</v>
      </c>
      <c r="K22" s="223"/>
      <c r="L22" s="224">
        <f>L20/L10*100</f>
        <v>62.620887427395544</v>
      </c>
    </row>
    <row r="23" spans="1:12" x14ac:dyDescent="0.2">
      <c r="A23" s="94" t="s">
        <v>311</v>
      </c>
      <c r="B23" s="153">
        <f>1125104.98+7830700.03</f>
        <v>8955805.0099999998</v>
      </c>
      <c r="C23" s="153">
        <f>808451.32+37780.24+2454818.01</f>
        <v>3301049.57</v>
      </c>
      <c r="D23" s="153">
        <f>279736.4+611307.82</f>
        <v>891044.22</v>
      </c>
      <c r="E23" s="153">
        <f>2624.9+21066</f>
        <v>23690.9</v>
      </c>
      <c r="F23" s="153">
        <v>0</v>
      </c>
      <c r="G23" s="154">
        <f t="shared" si="0"/>
        <v>46.544145225868427</v>
      </c>
      <c r="J23" s="223"/>
      <c r="K23" s="223"/>
      <c r="L23" s="224"/>
    </row>
    <row r="24" spans="1:12" x14ac:dyDescent="0.2">
      <c r="A24" s="94" t="s">
        <v>312</v>
      </c>
      <c r="B24" s="153">
        <f>702397+8360606.83</f>
        <v>9063003.8300000001</v>
      </c>
      <c r="C24" s="153">
        <f>488514.75+20873.37+2725721.96</f>
        <v>3235110.08</v>
      </c>
      <c r="D24" s="153">
        <f>208616.54+694765.38</f>
        <v>903381.92</v>
      </c>
      <c r="E24" s="153">
        <f>23092.95</f>
        <v>23092.95</v>
      </c>
      <c r="F24" s="153">
        <v>0</v>
      </c>
      <c r="G24" s="154">
        <f t="shared" si="0"/>
        <v>45.408775359637026</v>
      </c>
    </row>
    <row r="25" spans="1:12" x14ac:dyDescent="0.2">
      <c r="A25" s="94" t="s">
        <v>313</v>
      </c>
      <c r="B25" s="153">
        <f>330885.27+8853011.81</f>
        <v>9183897.0800000001</v>
      </c>
      <c r="C25" s="153">
        <f>289086.15+3145424.7</f>
        <v>3434510.85</v>
      </c>
      <c r="D25" s="153">
        <f>138295.6+777049.83</f>
        <v>915345.42999999993</v>
      </c>
      <c r="E25" s="153">
        <f>23092.95</f>
        <v>23092.95</v>
      </c>
      <c r="F25" s="153">
        <v>0</v>
      </c>
      <c r="G25" s="154">
        <f t="shared" si="0"/>
        <v>47.112498020284868</v>
      </c>
    </row>
    <row r="26" spans="1:12" x14ac:dyDescent="0.2">
      <c r="A26" s="94" t="s">
        <v>314</v>
      </c>
      <c r="B26" s="153">
        <f>9401746.34</f>
        <v>9401746.3399999999</v>
      </c>
      <c r="C26" s="153">
        <f>3468621.26</f>
        <v>3468621.26</v>
      </c>
      <c r="D26" s="153">
        <f>1093498.5</f>
        <v>1093498.5</v>
      </c>
      <c r="E26" s="153">
        <f>32279.44</f>
        <v>32279.439999999999</v>
      </c>
      <c r="F26" s="153">
        <v>0</v>
      </c>
      <c r="G26" s="154">
        <f t="shared" si="0"/>
        <v>48.180839560919267</v>
      </c>
    </row>
    <row r="27" spans="1:12" x14ac:dyDescent="0.2">
      <c r="A27" s="94" t="s">
        <v>315</v>
      </c>
      <c r="B27" s="153">
        <f>8369878.02+1302151.53</f>
        <v>9672029.5499999989</v>
      </c>
      <c r="C27" s="153">
        <f>3112912.71+269248.2</f>
        <v>3382160.91</v>
      </c>
      <c r="D27" s="153">
        <f>1093498.5+0</f>
        <v>1093498.5</v>
      </c>
      <c r="E27" s="153">
        <f>20743.86+0</f>
        <v>20743.86</v>
      </c>
      <c r="F27" s="153">
        <v>0</v>
      </c>
      <c r="G27" s="154">
        <f t="shared" si="0"/>
        <v>46.059780183363898</v>
      </c>
    </row>
    <row r="28" spans="1:12" x14ac:dyDescent="0.2">
      <c r="A28" s="94" t="s">
        <v>316</v>
      </c>
      <c r="B28" s="153">
        <f>7317249.56+2709765.52</f>
        <v>10027015.08</v>
      </c>
      <c r="C28" s="153">
        <f>2840774.82+550051.58</f>
        <v>3390826.4</v>
      </c>
      <c r="D28" s="153">
        <f>938769.05+80291.53</f>
        <v>1019060.5800000001</v>
      </c>
      <c r="E28" s="153">
        <f>20743.86+2429.54</f>
        <v>23173.4</v>
      </c>
      <c r="F28" s="153">
        <v>0</v>
      </c>
      <c r="G28" s="154">
        <f t="shared" si="0"/>
        <v>43.748947667883634</v>
      </c>
    </row>
    <row r="29" spans="1:12" x14ac:dyDescent="0.2">
      <c r="A29" s="157" t="s">
        <v>317</v>
      </c>
      <c r="B29" s="153">
        <f>6399554.08+3664141.66</f>
        <v>10063695.74</v>
      </c>
      <c r="C29" s="153">
        <f>2589724.48+823918.85</f>
        <v>3413643.33</v>
      </c>
      <c r="D29" s="153">
        <f>917460.29+162335.74</f>
        <v>1079796.03</v>
      </c>
      <c r="E29" s="153">
        <f>20743.86+13582</f>
        <v>34325.86</v>
      </c>
      <c r="F29" s="153">
        <v>0</v>
      </c>
      <c r="G29" s="154">
        <f t="shared" si="0"/>
        <v>44.308906143460177</v>
      </c>
    </row>
    <row r="30" spans="1:12" x14ac:dyDescent="0.2">
      <c r="A30" s="94" t="s">
        <v>318</v>
      </c>
      <c r="B30" s="153">
        <f>4720374.11+5368147.86</f>
        <v>10088521.970000001</v>
      </c>
      <c r="C30" s="153">
        <f>2380583.27+1085064.65</f>
        <v>3465647.92</v>
      </c>
      <c r="D30" s="153">
        <f>836354.67+241843.98</f>
        <v>1078198.6500000001</v>
      </c>
      <c r="E30" s="153">
        <f>12223.84+13582</f>
        <v>25805.84</v>
      </c>
      <c r="F30" s="153">
        <v>0</v>
      </c>
      <c r="G30" s="154">
        <f t="shared" si="0"/>
        <v>44.783970768316621</v>
      </c>
    </row>
    <row r="31" spans="1:12" x14ac:dyDescent="0.2">
      <c r="A31" s="94" t="s">
        <v>319</v>
      </c>
      <c r="B31" s="153">
        <f>3981762.31+6330271.16</f>
        <v>10312033.470000001</v>
      </c>
      <c r="C31" s="153">
        <f>2147496.81+1398554.87</f>
        <v>3546051.68</v>
      </c>
      <c r="D31" s="153">
        <f>758458.15+320983.25</f>
        <v>1079441.3999999999</v>
      </c>
      <c r="E31" s="153">
        <f>12223.84+13582</f>
        <v>25805.84</v>
      </c>
      <c r="F31" s="153">
        <v>0</v>
      </c>
      <c r="G31" s="154">
        <f t="shared" si="0"/>
        <v>44.605045681644782</v>
      </c>
    </row>
    <row r="32" spans="1:12" x14ac:dyDescent="0.2">
      <c r="A32" s="94" t="s">
        <v>320</v>
      </c>
      <c r="B32" s="153">
        <f>3281507.75+7270524.54</f>
        <v>10552032.289999999</v>
      </c>
      <c r="C32" s="153">
        <f>1789099.51+1849552.28</f>
        <v>3638651.79</v>
      </c>
      <c r="D32" s="153">
        <f>685495.98+415851.27</f>
        <v>1101347.25</v>
      </c>
      <c r="E32" s="153">
        <f>12223.84+18406.17</f>
        <v>30630.01</v>
      </c>
      <c r="F32" s="153">
        <v>0</v>
      </c>
      <c r="G32" s="154">
        <f t="shared" si="0"/>
        <v>44.629971749261962</v>
      </c>
    </row>
    <row r="33" spans="1:11" x14ac:dyDescent="0.2">
      <c r="A33" s="94" t="s">
        <v>321</v>
      </c>
      <c r="B33" s="153">
        <f>2652577.33+8057769.04</f>
        <v>10710346.370000001</v>
      </c>
      <c r="C33" s="153">
        <f>1524518.08+2128460.49</f>
        <v>3652978.5700000003</v>
      </c>
      <c r="D33" s="153">
        <f>652025.48+519277.37</f>
        <v>1171302.8500000001</v>
      </c>
      <c r="E33" s="153">
        <f>12223.84+19086.9</f>
        <v>31310.74</v>
      </c>
      <c r="F33" s="153">
        <v>0</v>
      </c>
      <c r="G33" s="154">
        <f t="shared" si="0"/>
        <v>44.75084665259056</v>
      </c>
    </row>
    <row r="34" spans="1:11" x14ac:dyDescent="0.2">
      <c r="A34" s="94" t="s">
        <v>322</v>
      </c>
      <c r="B34" s="153">
        <f>2079190.12+8843026.84</f>
        <v>10922216.960000001</v>
      </c>
      <c r="C34" s="153">
        <f>1275800.29+2410351.19</f>
        <v>3686151.48</v>
      </c>
      <c r="D34" s="153">
        <f>566637.08+614435.3</f>
        <v>1181072.3799999999</v>
      </c>
      <c r="E34" s="153">
        <f>11213.44+19086.9</f>
        <v>30300.340000000004</v>
      </c>
      <c r="F34" s="153">
        <v>0</v>
      </c>
      <c r="G34" s="154">
        <f t="shared" si="0"/>
        <v>44.285180725800188</v>
      </c>
    </row>
    <row r="35" spans="1:11" x14ac:dyDescent="0.2">
      <c r="A35" s="94" t="s">
        <v>323</v>
      </c>
      <c r="B35" s="153">
        <f>1571046.31+9481498.93</f>
        <v>11052545.24</v>
      </c>
      <c r="C35" s="153">
        <f>1013803.25+2703644.49</f>
        <v>3717447.74</v>
      </c>
      <c r="D35" s="153">
        <f>482190.68+706259.33</f>
        <v>1188450.01</v>
      </c>
      <c r="E35" s="153">
        <f>11213.44+19086.9</f>
        <v>30300.340000000004</v>
      </c>
      <c r="F35" s="153">
        <v>0</v>
      </c>
      <c r="G35" s="154">
        <f t="shared" ref="G35:G66" si="1">((C35+D35)-(E35+F35))/B35*100</f>
        <v>44.112892588350086</v>
      </c>
    </row>
    <row r="36" spans="1:11" x14ac:dyDescent="0.2">
      <c r="A36" s="94" t="s">
        <v>324</v>
      </c>
      <c r="B36" s="153">
        <f>1041139.51+10064092.17</f>
        <v>11105231.68</v>
      </c>
      <c r="C36" s="153">
        <f>742899.3+2998862.78</f>
        <v>3741762.08</v>
      </c>
      <c r="D36" s="153">
        <f>398733.12+794008.04</f>
        <v>1192741.1600000001</v>
      </c>
      <c r="E36" s="153">
        <f>9186.49+19086.9</f>
        <v>28273.39</v>
      </c>
      <c r="F36" s="153">
        <v>0</v>
      </c>
      <c r="G36" s="154">
        <f t="shared" si="1"/>
        <v>44.179446150915432</v>
      </c>
    </row>
    <row r="37" spans="1:11" x14ac:dyDescent="0.2">
      <c r="A37" s="94" t="s">
        <v>325</v>
      </c>
      <c r="B37" s="153">
        <f>548734.53+10569068.44</f>
        <v>11117802.969999999</v>
      </c>
      <c r="C37" s="153">
        <f>323196.56+3461541.87</f>
        <v>3784738.43</v>
      </c>
      <c r="D37" s="153">
        <f>316448.67+881904.59</f>
        <v>1198353.26</v>
      </c>
      <c r="E37" s="153">
        <f>9186.49+19086.9</f>
        <v>28273.39</v>
      </c>
      <c r="F37" s="153">
        <v>0</v>
      </c>
      <c r="G37" s="154">
        <f t="shared" si="1"/>
        <v>44.56652374007669</v>
      </c>
    </row>
    <row r="38" spans="1:11" x14ac:dyDescent="0.2">
      <c r="A38" s="94" t="s">
        <v>326</v>
      </c>
      <c r="B38" s="153">
        <f>11362084.5</f>
        <v>11362084.5</v>
      </c>
      <c r="C38" s="153">
        <f>3812233.68</f>
        <v>3812233.68</v>
      </c>
      <c r="D38" s="153">
        <f>1218708.84</f>
        <v>1218708.8400000001</v>
      </c>
      <c r="E38" s="153">
        <f>19086.9</f>
        <v>19086.900000000001</v>
      </c>
      <c r="F38" s="153">
        <v>0</v>
      </c>
      <c r="G38" s="154">
        <f t="shared" si="1"/>
        <v>44.110353342293841</v>
      </c>
    </row>
    <row r="39" spans="1:11" x14ac:dyDescent="0.2">
      <c r="A39" s="158" t="s">
        <v>327</v>
      </c>
      <c r="B39" s="159">
        <f>10059932.97+1521004.08</f>
        <v>11580937.050000001</v>
      </c>
      <c r="C39" s="159">
        <f>3542985.48+282726.13</f>
        <v>3825711.61</v>
      </c>
      <c r="D39" s="159">
        <f>1218708.84+0</f>
        <v>1218708.8400000001</v>
      </c>
      <c r="E39" s="159">
        <f>19086.9+13002.66</f>
        <v>32089.56</v>
      </c>
      <c r="F39" s="159">
        <v>0</v>
      </c>
      <c r="G39" s="160">
        <f t="shared" si="1"/>
        <v>43.280875013477434</v>
      </c>
      <c r="J39" s="159">
        <f>10059932.97+1521004.08</f>
        <v>11580937.050000001</v>
      </c>
      <c r="K39" s="159">
        <f>1218708.84+1979.74</f>
        <v>1220688.58</v>
      </c>
    </row>
    <row r="40" spans="1:11" x14ac:dyDescent="0.2">
      <c r="A40" s="158" t="s">
        <v>328</v>
      </c>
      <c r="B40" s="159">
        <f>8652318.98+3323134.02</f>
        <v>11975453</v>
      </c>
      <c r="C40" s="159">
        <f>3262182.1+633296.2</f>
        <v>3895478.3</v>
      </c>
      <c r="D40" s="159">
        <f>1138417.31+100144.65</f>
        <v>1238561.96</v>
      </c>
      <c r="E40" s="159">
        <f>16657.36+13002.66</f>
        <v>29660.02</v>
      </c>
      <c r="F40" s="159">
        <v>0</v>
      </c>
      <c r="G40" s="160">
        <f t="shared" si="1"/>
        <v>42.623692314603886</v>
      </c>
      <c r="J40" s="159">
        <f>8652318.98+3323134.02</f>
        <v>11975453</v>
      </c>
      <c r="K40" s="159">
        <f>1138417.31+100144.65+1979.74</f>
        <v>1240541.7</v>
      </c>
    </row>
    <row r="41" spans="1:11" x14ac:dyDescent="0.2">
      <c r="A41" s="161" t="s">
        <v>329</v>
      </c>
      <c r="B41" s="159">
        <f>7697942.84+4463319.97</f>
        <v>12161262.809999999</v>
      </c>
      <c r="C41" s="159">
        <f>2988314.83+918803.8</f>
        <v>3907118.63</v>
      </c>
      <c r="D41" s="159">
        <f>1056373.1+196639.76</f>
        <v>1253012.8600000001</v>
      </c>
      <c r="E41" s="159">
        <f>5504.9+13002.66</f>
        <v>18507.559999999998</v>
      </c>
      <c r="F41" s="159">
        <v>0</v>
      </c>
      <c r="G41" s="160">
        <f t="shared" si="1"/>
        <v>42.278700907377242</v>
      </c>
      <c r="J41" s="159">
        <f>7697942.84+4463319.97</f>
        <v>12161262.809999999</v>
      </c>
      <c r="K41" s="159">
        <f>1056373.1+196639.76+1974.74</f>
        <v>1254987.6000000001</v>
      </c>
    </row>
    <row r="42" spans="1:11" x14ac:dyDescent="0.2">
      <c r="A42" s="158" t="s">
        <v>330</v>
      </c>
      <c r="B42" s="159">
        <f>5993936.64+6018702.21</f>
        <v>12012638.85</v>
      </c>
      <c r="C42" s="159">
        <f>2727169.03+1272080</f>
        <v>3999249.03</v>
      </c>
      <c r="D42" s="159">
        <f>976864.86+302096.93</f>
        <v>1278961.79</v>
      </c>
      <c r="E42" s="159">
        <f>5504.9+18087.81</f>
        <v>23592.71</v>
      </c>
      <c r="F42" s="159">
        <v>0</v>
      </c>
      <c r="G42" s="160">
        <f t="shared" si="1"/>
        <v>43.742413100182404</v>
      </c>
      <c r="J42" s="159">
        <f>5993936.64+6018702.21</f>
        <v>12012638.85</v>
      </c>
      <c r="K42" s="159">
        <f>976864.86+302096.93+1974.74</f>
        <v>1280936.53</v>
      </c>
    </row>
    <row r="43" spans="1:11" x14ac:dyDescent="0.2">
      <c r="A43" s="158" t="s">
        <v>331</v>
      </c>
      <c r="B43" s="159">
        <f>5031813.34+6834865.87</f>
        <v>11866679.210000001</v>
      </c>
      <c r="C43" s="159">
        <f>2413678.81+1598247.12</f>
        <v>4011925.93</v>
      </c>
      <c r="D43" s="159">
        <f>897725.59+399728.33</f>
        <v>1297453.92</v>
      </c>
      <c r="E43" s="159">
        <f>5504.9+18087.81</f>
        <v>23592.71</v>
      </c>
      <c r="F43" s="159">
        <v>99251.08</v>
      </c>
      <c r="G43" s="160">
        <f t="shared" si="1"/>
        <v>43.706718351578324</v>
      </c>
      <c r="J43" s="159">
        <f>5031813.34+6834865.87</f>
        <v>11866679.210000001</v>
      </c>
      <c r="K43" s="159">
        <f>897725.59+399728.33+1974.74</f>
        <v>1299428.6599999999</v>
      </c>
    </row>
    <row r="44" spans="1:11" x14ac:dyDescent="0.2">
      <c r="A44" s="158" t="s">
        <v>332</v>
      </c>
      <c r="B44" s="159">
        <f>4091559.96+7838549.93</f>
        <v>11930109.890000001</v>
      </c>
      <c r="C44" s="159">
        <f>1962681.4+2080354.6</f>
        <v>4043036</v>
      </c>
      <c r="D44" s="159">
        <f>802857.57+502533.78</f>
        <v>1305391.3500000001</v>
      </c>
      <c r="E44" s="159">
        <f>680.73+18087.81</f>
        <v>18768.54</v>
      </c>
      <c r="F44" s="159">
        <v>99251.08</v>
      </c>
      <c r="G44" s="160">
        <f t="shared" si="1"/>
        <v>43.842075037248456</v>
      </c>
      <c r="J44" s="159">
        <f>4091559.96+7838549.93</f>
        <v>11930109.890000001</v>
      </c>
      <c r="K44" s="159">
        <f>802857.57+502533.78+1979.74</f>
        <v>1307371.0900000001</v>
      </c>
    </row>
    <row r="45" spans="1:11" x14ac:dyDescent="0.2">
      <c r="A45" s="158" t="s">
        <v>333</v>
      </c>
      <c r="B45" s="159">
        <f>3304315.46+8626575.43</f>
        <v>11930890.890000001</v>
      </c>
      <c r="C45" s="159">
        <f>1683773.19+2385090.31</f>
        <v>4068863.5</v>
      </c>
      <c r="D45" s="159">
        <f>699431.47+616439.21</f>
        <v>1315870.68</v>
      </c>
      <c r="E45" s="159">
        <f>0+25637.54</f>
        <v>25637.54</v>
      </c>
      <c r="F45" s="159">
        <v>99251.08</v>
      </c>
      <c r="G45" s="160">
        <f t="shared" si="1"/>
        <v>44.085941347503173</v>
      </c>
      <c r="J45" s="159">
        <f>3304315.46+8626575.43</f>
        <v>11930890.890000001</v>
      </c>
      <c r="K45" s="159">
        <f>699431.47+616439.21+1979.74</f>
        <v>1317850.42</v>
      </c>
    </row>
    <row r="46" spans="1:11" x14ac:dyDescent="0.2">
      <c r="A46" s="158" t="s">
        <v>334</v>
      </c>
      <c r="B46" s="159">
        <f>2519057.66+9452232.46</f>
        <v>11971290.120000001</v>
      </c>
      <c r="C46" s="159">
        <f>1401882.49+2724367.54</f>
        <v>4126250.0300000003</v>
      </c>
      <c r="D46" s="159">
        <f>604273.54+726916.88</f>
        <v>1331190.42</v>
      </c>
      <c r="E46" s="159">
        <f>0+25637.54</f>
        <v>25637.54</v>
      </c>
      <c r="F46" s="159">
        <v>99251.08</v>
      </c>
      <c r="G46" s="160">
        <f t="shared" si="1"/>
        <v>44.544504197514172</v>
      </c>
      <c r="J46" s="159">
        <f>2519057.66+9452232.46</f>
        <v>11971290.120000001</v>
      </c>
      <c r="K46" s="159">
        <f>604273.54+726916.88+1979.74</f>
        <v>1333170.1599999999</v>
      </c>
    </row>
    <row r="47" spans="1:11" x14ac:dyDescent="0.2">
      <c r="A47" s="158" t="s">
        <v>335</v>
      </c>
      <c r="B47" s="159">
        <f>1880585.57+10108506.62</f>
        <v>11989092.189999999</v>
      </c>
      <c r="C47" s="159">
        <f>1108589.19+3077525.08</f>
        <v>4186114.27</v>
      </c>
      <c r="D47" s="159">
        <f>512449.51+834334.14</f>
        <v>1346783.65</v>
      </c>
      <c r="E47" s="159">
        <f>0+25637.54</f>
        <v>25637.54</v>
      </c>
      <c r="F47" s="159">
        <f>99251.08+8880.27</f>
        <v>108131.35</v>
      </c>
      <c r="G47" s="160">
        <f t="shared" si="1"/>
        <v>45.033676815859067</v>
      </c>
      <c r="J47" s="159">
        <f>1880585.57+10108506.62</f>
        <v>11989092.189999999</v>
      </c>
      <c r="K47" s="159">
        <f>512449.51+834334.14+1979.74</f>
        <v>1348763.39</v>
      </c>
    </row>
    <row r="48" spans="1:11" x14ac:dyDescent="0.2">
      <c r="A48" s="158" t="s">
        <v>336</v>
      </c>
      <c r="B48" s="159">
        <f>1297992.33+10794112.81</f>
        <v>12092105.140000001</v>
      </c>
      <c r="C48" s="159">
        <f>813370.9+3379714.33</f>
        <v>4193085.23</v>
      </c>
      <c r="D48" s="159">
        <f>424700.8+934088.81</f>
        <v>1358789.61</v>
      </c>
      <c r="E48" s="159">
        <f>0+25637.54</f>
        <v>25637.54</v>
      </c>
      <c r="F48" s="159">
        <v>108131.35</v>
      </c>
      <c r="G48" s="160">
        <f t="shared" si="1"/>
        <v>44.806970227849007</v>
      </c>
      <c r="J48" s="159">
        <f>1297992.33+10794112.81</f>
        <v>12092105.140000001</v>
      </c>
      <c r="K48" s="159">
        <f>424700.8+934088.81+1979.74</f>
        <v>1360769.35</v>
      </c>
    </row>
    <row r="49" spans="1:11" x14ac:dyDescent="0.2">
      <c r="A49" s="158" t="s">
        <v>337</v>
      </c>
      <c r="B49" s="159">
        <f>793016.06+11353057.94</f>
        <v>12146074</v>
      </c>
      <c r="C49" s="159">
        <f>350691.81+3887418.98</f>
        <v>4238110.79</v>
      </c>
      <c r="D49" s="159">
        <f>336804.25+1039686.02</f>
        <v>1376490.27</v>
      </c>
      <c r="E49" s="159">
        <f>0+25637.54</f>
        <v>25637.54</v>
      </c>
      <c r="F49" s="159">
        <f>108131.25+5402.3</f>
        <v>113533.55</v>
      </c>
      <c r="G49" s="160">
        <f t="shared" si="1"/>
        <v>45.079833780034605</v>
      </c>
      <c r="J49" s="159">
        <f>793016.06+11353057.94</f>
        <v>12146074</v>
      </c>
      <c r="K49" s="159">
        <f>336804.25+1039686.02+1979.74</f>
        <v>1378470.01</v>
      </c>
    </row>
    <row r="50" spans="1:11" x14ac:dyDescent="0.2">
      <c r="A50" s="158" t="s">
        <v>338</v>
      </c>
      <c r="B50" s="159">
        <f>12158775.73</f>
        <v>12158775.73</v>
      </c>
      <c r="C50" s="159">
        <f>4302972.11</f>
        <v>4302972.1100000003</v>
      </c>
      <c r="D50" s="159">
        <f>1223272.82</f>
        <v>1223272.82</v>
      </c>
      <c r="E50" s="159">
        <f>30369.31</f>
        <v>30369.31</v>
      </c>
      <c r="F50" s="159">
        <v>113533.55</v>
      </c>
      <c r="G50" s="160">
        <f t="shared" si="1"/>
        <v>44.267138316564711</v>
      </c>
      <c r="J50" s="159">
        <f>12158775.73</f>
        <v>12158775.73</v>
      </c>
      <c r="K50" s="159">
        <f>1223272.82+2154.75</f>
        <v>1225427.57</v>
      </c>
    </row>
    <row r="51" spans="1:11" x14ac:dyDescent="0.2">
      <c r="A51" s="158" t="s">
        <v>339</v>
      </c>
      <c r="B51" s="159">
        <f>10637771.65+1422723.07</f>
        <v>12060494.720000001</v>
      </c>
      <c r="C51" s="159">
        <f>4020245.98+286621.67</f>
        <v>4306867.6500000004</v>
      </c>
      <c r="D51" s="159">
        <f>1223272.82+0</f>
        <v>1223272.82</v>
      </c>
      <c r="E51" s="159">
        <f>17366.65+0</f>
        <v>17366.650000000001</v>
      </c>
      <c r="F51" s="159">
        <v>113533.55</v>
      </c>
      <c r="G51" s="160">
        <f t="shared" si="1"/>
        <v>44.767983365113565</v>
      </c>
      <c r="J51" s="159">
        <f>10637771.65+1422723.07</f>
        <v>12060494.720000001</v>
      </c>
      <c r="K51" s="159">
        <f>1223272.82+0+2154.75</f>
        <v>1225427.57</v>
      </c>
    </row>
    <row r="52" spans="1:11" x14ac:dyDescent="0.2">
      <c r="A52" s="158" t="s">
        <v>340</v>
      </c>
      <c r="B52" s="159">
        <f>8835641.71+3500639.79</f>
        <v>12336281.5</v>
      </c>
      <c r="C52" s="159">
        <f>3669675.91+616940.88</f>
        <v>4286616.79</v>
      </c>
      <c r="D52" s="159">
        <f>1123128.17+108574.92</f>
        <v>1231703.0899999999</v>
      </c>
      <c r="E52" s="159">
        <f>17366.65+2557.97</f>
        <v>19924.620000000003</v>
      </c>
      <c r="F52" s="159">
        <v>113533.55</v>
      </c>
      <c r="G52" s="160">
        <f t="shared" si="1"/>
        <v>43.650606627288781</v>
      </c>
      <c r="J52" s="159">
        <f>8835641.71+3500639.79</f>
        <v>12336281.5</v>
      </c>
      <c r="K52" s="159">
        <f>1123128.17+108574.92+2154.75</f>
        <v>1233857.8399999999</v>
      </c>
    </row>
    <row r="53" spans="1:11" x14ac:dyDescent="0.2">
      <c r="A53" s="157" t="s">
        <v>341</v>
      </c>
      <c r="B53" s="153">
        <f>7695455.76+4743450.74</f>
        <v>12438906.5</v>
      </c>
      <c r="C53" s="153">
        <f>3384168.31+952795.53</f>
        <v>4336963.84</v>
      </c>
      <c r="D53" s="153">
        <f>1026633.06+208629.97</f>
        <v>1235263.03</v>
      </c>
      <c r="E53" s="153">
        <f>17366.65+2557.97</f>
        <v>19924.620000000003</v>
      </c>
      <c r="F53" s="153">
        <v>113533.55</v>
      </c>
      <c r="G53" s="154">
        <f t="shared" si="1"/>
        <v>43.723849037694755</v>
      </c>
    </row>
    <row r="54" spans="1:11" x14ac:dyDescent="0.2">
      <c r="A54" s="94" t="s">
        <v>342</v>
      </c>
      <c r="B54" s="153">
        <f>6140073.52+6004868.24</f>
        <v>12144941.76</v>
      </c>
      <c r="C54" s="153">
        <f>3030892.11+1260965.86</f>
        <v>4291857.97</v>
      </c>
      <c r="D54" s="153">
        <f>921175.89+303581.04</f>
        <v>1224756.93</v>
      </c>
      <c r="E54" s="153">
        <f>12281.5+2557.97</f>
        <v>14839.47</v>
      </c>
      <c r="F54" s="153">
        <v>113533.55</v>
      </c>
      <c r="G54" s="154">
        <f t="shared" si="1"/>
        <v>44.366140130424142</v>
      </c>
    </row>
    <row r="55" spans="1:11" x14ac:dyDescent="0.2">
      <c r="A55" s="94" t="s">
        <v>343</v>
      </c>
      <c r="B55" s="153">
        <f>5323909.86+6845528.76</f>
        <v>12169438.620000001</v>
      </c>
      <c r="C55" s="153">
        <f>2704724.99+1582605.45</f>
        <v>4287330.4400000004</v>
      </c>
      <c r="D55" s="153">
        <f>823544.49+402982.66</f>
        <v>1226527.1499999999</v>
      </c>
      <c r="E55" s="153">
        <f>12281.5+2557.97</f>
        <v>14839.47</v>
      </c>
      <c r="F55" s="153">
        <f>8880.27+5402.3</f>
        <v>14282.57</v>
      </c>
      <c r="G55" s="154">
        <f t="shared" si="1"/>
        <v>45.069749897797664</v>
      </c>
    </row>
    <row r="56" spans="1:11" x14ac:dyDescent="0.2">
      <c r="A56" s="94" t="s">
        <v>344</v>
      </c>
      <c r="B56" s="153">
        <f>4320225.8+7641536.08</f>
        <v>11961761.879999999</v>
      </c>
      <c r="C56" s="153">
        <f>2222617.51+1991057.76</f>
        <v>4213675.2699999996</v>
      </c>
      <c r="D56" s="153">
        <f>720739.04+500744.69</f>
        <v>1221483.73</v>
      </c>
      <c r="E56" s="153">
        <f>12281.5+2651.24</f>
        <v>14932.74</v>
      </c>
      <c r="F56" s="153">
        <v>14282.57</v>
      </c>
      <c r="G56" s="154">
        <f t="shared" si="1"/>
        <v>45.193540418478896</v>
      </c>
    </row>
    <row r="57" spans="1:11" x14ac:dyDescent="0.2">
      <c r="A57" s="94" t="s">
        <v>345</v>
      </c>
      <c r="B57" s="153">
        <f>3532200.3+8377440.18</f>
        <v>11909640.48</v>
      </c>
      <c r="C57" s="153">
        <f>1917881.8+2438777.01</f>
        <v>4356658.8099999996</v>
      </c>
      <c r="D57" s="153">
        <f>606833.61+617256.24</f>
        <v>1224089.8500000001</v>
      </c>
      <c r="E57" s="153">
        <f>4731.77+2651.24</f>
        <v>7383.01</v>
      </c>
      <c r="F57" s="153">
        <v>14282.57</v>
      </c>
      <c r="G57" s="154">
        <f t="shared" si="1"/>
        <v>46.677169552980487</v>
      </c>
    </row>
    <row r="58" spans="1:11" x14ac:dyDescent="0.2">
      <c r="A58" s="94" t="s">
        <v>346</v>
      </c>
      <c r="B58" s="153">
        <f>2706543.27+9250202.44</f>
        <v>11956745.709999999</v>
      </c>
      <c r="C58" s="153">
        <f>1578604.57+2778933.54</f>
        <v>4357538.1100000003</v>
      </c>
      <c r="D58" s="153">
        <f>496355.94+721449.83</f>
        <v>1217805.77</v>
      </c>
      <c r="E58" s="153">
        <f>4731.77+2651.24</f>
        <v>7383.01</v>
      </c>
      <c r="F58" s="153">
        <v>14282.57</v>
      </c>
      <c r="G58" s="154">
        <f t="shared" si="1"/>
        <v>46.448075711396903</v>
      </c>
    </row>
    <row r="59" spans="1:11" x14ac:dyDescent="0.2">
      <c r="A59" s="94" t="s">
        <v>347</v>
      </c>
      <c r="B59" s="153">
        <f>2050269.11+9867840.11</f>
        <v>11918109.219999999</v>
      </c>
      <c r="C59" s="153">
        <f>1225447.03+3145188.64</f>
        <v>4370635.67</v>
      </c>
      <c r="D59" s="153">
        <f>388938.68+832088.74</f>
        <v>1221027.42</v>
      </c>
      <c r="E59" s="153">
        <f>4731.77+2651.24</f>
        <v>7383.01</v>
      </c>
      <c r="F59" s="153">
        <v>5402.3</v>
      </c>
      <c r="G59" s="154">
        <f t="shared" si="1"/>
        <v>46.810091072483061</v>
      </c>
    </row>
    <row r="60" spans="1:11" x14ac:dyDescent="0.2">
      <c r="A60" s="94" t="s">
        <v>348</v>
      </c>
      <c r="B60" s="153">
        <f>1364662.92+10433901.03</f>
        <v>11798563.949999999</v>
      </c>
      <c r="C60" s="153">
        <f>923257.78+3474930.6</f>
        <v>4398188.38</v>
      </c>
      <c r="D60" s="153">
        <f>289184.01+934898.4</f>
        <v>1224082.4100000001</v>
      </c>
      <c r="E60" s="153">
        <f>4731.77+2651.24</f>
        <v>7383.01</v>
      </c>
      <c r="F60" s="153">
        <v>5402.3</v>
      </c>
      <c r="G60" s="154">
        <f t="shared" si="1"/>
        <v>47.543798582369007</v>
      </c>
    </row>
    <row r="61" spans="1:11" x14ac:dyDescent="0.2">
      <c r="A61" s="94" t="s">
        <v>349</v>
      </c>
      <c r="B61" s="153">
        <f>805717.79+11129726.61</f>
        <v>11935444.399999999</v>
      </c>
      <c r="C61" s="153">
        <f>415553.13+4014645.52</f>
        <v>4430198.6500000004</v>
      </c>
      <c r="D61" s="153">
        <f>183586.8+1033985.49</f>
        <v>1217572.29</v>
      </c>
      <c r="E61" s="153">
        <f>4731.77+2651.24</f>
        <v>7383.01</v>
      </c>
      <c r="F61" s="153">
        <v>0</v>
      </c>
      <c r="G61" s="154">
        <f t="shared" si="1"/>
        <v>47.257460560077689</v>
      </c>
    </row>
    <row r="62" spans="1:11" x14ac:dyDescent="0.2">
      <c r="A62" s="94" t="s">
        <v>350</v>
      </c>
      <c r="B62" s="153">
        <f>11846567.85</f>
        <v>11846567.85</v>
      </c>
      <c r="C62" s="153">
        <f>4382465.45</f>
        <v>4382465.45</v>
      </c>
      <c r="D62" s="153">
        <f>1331520.86</f>
        <v>1331520.8600000001</v>
      </c>
      <c r="E62" s="153">
        <f>2651.24</f>
        <v>2651.24</v>
      </c>
      <c r="F62" s="153">
        <v>0</v>
      </c>
      <c r="G62" s="154">
        <f t="shared" si="1"/>
        <v>48.210883880600072</v>
      </c>
    </row>
    <row r="63" spans="1:11" x14ac:dyDescent="0.2">
      <c r="A63" s="94" t="s">
        <v>351</v>
      </c>
      <c r="B63" s="153">
        <f>10423844.78+1607569.06</f>
        <v>12031413.84</v>
      </c>
      <c r="C63" s="153">
        <f>4095843.78+362220.41</f>
        <v>4458064.1899999995</v>
      </c>
      <c r="D63" s="153">
        <f>1331520.86+0</f>
        <v>1331520.8600000001</v>
      </c>
      <c r="E63" s="153">
        <f>2651.24+0</f>
        <v>2651.24</v>
      </c>
      <c r="F63" s="153">
        <v>0</v>
      </c>
      <c r="G63" s="154">
        <f t="shared" si="1"/>
        <v>48.098535109486349</v>
      </c>
    </row>
    <row r="64" spans="1:11" x14ac:dyDescent="0.2">
      <c r="A64" s="94" t="s">
        <v>352</v>
      </c>
      <c r="B64" s="153">
        <f>8345928.06+4050752.56</f>
        <v>12396680.619999999</v>
      </c>
      <c r="C64" s="153">
        <f>3765524.57+730011.16</f>
        <v>4495535.7299999995</v>
      </c>
      <c r="D64" s="153">
        <f>1222945.94+111054.7</f>
        <v>1334000.6399999999</v>
      </c>
      <c r="E64" s="153">
        <f>93.27+0</f>
        <v>93.27</v>
      </c>
      <c r="F64" s="153">
        <v>0</v>
      </c>
      <c r="G64" s="154">
        <f t="shared" si="1"/>
        <v>47.024225909274094</v>
      </c>
    </row>
    <row r="65" spans="1:7" x14ac:dyDescent="0.2">
      <c r="A65" s="157" t="s">
        <v>353</v>
      </c>
      <c r="B65" s="153">
        <f>7103117.11+5378225.21</f>
        <v>12481342.32</v>
      </c>
      <c r="C65" s="153">
        <f>3429669.92+1040922.75</f>
        <v>4470592.67</v>
      </c>
      <c r="D65" s="153">
        <f>1122890.89+210874.66</f>
        <v>1333765.5499999998</v>
      </c>
      <c r="E65" s="153">
        <f>93.27+2143.79</f>
        <v>2237.06</v>
      </c>
      <c r="F65" s="153">
        <v>0</v>
      </c>
      <c r="G65" s="154">
        <f t="shared" si="1"/>
        <v>46.486355483598338</v>
      </c>
    </row>
    <row r="66" spans="1:7" x14ac:dyDescent="0.2">
      <c r="A66" s="94" t="s">
        <v>354</v>
      </c>
      <c r="B66" s="153">
        <f>5841699.61+6756191.3</f>
        <v>12597890.91</v>
      </c>
      <c r="C66" s="153">
        <f>3121499.59+1380379.83</f>
        <v>4501879.42</v>
      </c>
      <c r="D66" s="153">
        <f>1027939.82+314511.22</f>
        <v>1342451.04</v>
      </c>
      <c r="E66" s="153">
        <f>93.27+2143.79</f>
        <v>2237.06</v>
      </c>
      <c r="F66" s="153">
        <v>0</v>
      </c>
      <c r="G66" s="154">
        <f t="shared" si="1"/>
        <v>46.373583020651829</v>
      </c>
    </row>
    <row r="67" spans="1:7" x14ac:dyDescent="0.2">
      <c r="A67" s="94" t="s">
        <v>355</v>
      </c>
      <c r="B67" s="153">
        <f>5001039.09+7767780.92</f>
        <v>12768820.01</v>
      </c>
      <c r="C67" s="153">
        <f>2799860+1812299.45</f>
        <v>4612159.45</v>
      </c>
      <c r="D67" s="153">
        <f>928538.2+412278.86</f>
        <v>1340817.06</v>
      </c>
      <c r="E67" s="153">
        <f>93.27+2143.79</f>
        <v>2237.06</v>
      </c>
      <c r="F67" s="153">
        <v>0</v>
      </c>
      <c r="G67" s="154">
        <f t="shared" ref="G67:G98" si="2">((C67+D67)-(E67+F67))/B67*100</f>
        <v>46.603675557644578</v>
      </c>
    </row>
    <row r="68" spans="1:7" x14ac:dyDescent="0.2">
      <c r="A68" s="94" t="s">
        <v>356</v>
      </c>
      <c r="B68" s="153">
        <f>4205031.77+8639540.63</f>
        <v>12844572.4</v>
      </c>
      <c r="C68" s="153">
        <f>2391407.69+2337310.4</f>
        <v>4728718.09</v>
      </c>
      <c r="D68" s="153">
        <f>830776.17+525829.33</f>
        <v>1356605.5</v>
      </c>
      <c r="E68" s="153">
        <f t="shared" ref="E68:E73" si="3">0+2143.79</f>
        <v>2143.79</v>
      </c>
      <c r="F68" s="153">
        <v>0</v>
      </c>
      <c r="G68" s="154">
        <f t="shared" si="2"/>
        <v>47.359924570163187</v>
      </c>
    </row>
    <row r="69" spans="1:7" x14ac:dyDescent="0.2">
      <c r="A69" s="94" t="s">
        <v>357</v>
      </c>
      <c r="B69" s="153">
        <f>3469127.67+9610892.94</f>
        <v>13080020.609999999</v>
      </c>
      <c r="C69" s="153">
        <f>1943688.44+2712852.86</f>
        <v>4656541.3</v>
      </c>
      <c r="D69" s="153">
        <f>714264.62+653024.46</f>
        <v>1367289.08</v>
      </c>
      <c r="E69" s="153">
        <f t="shared" si="3"/>
        <v>2143.79</v>
      </c>
      <c r="F69" s="153">
        <v>0</v>
      </c>
      <c r="G69" s="154">
        <f t="shared" si="2"/>
        <v>46.037286710360924</v>
      </c>
    </row>
    <row r="70" spans="1:7" x14ac:dyDescent="0.2">
      <c r="A70" s="94" t="s">
        <v>358</v>
      </c>
      <c r="B70" s="153">
        <f>2596365.41+10465155.36</f>
        <v>13061520.77</v>
      </c>
      <c r="C70" s="153">
        <f>1603531.91+3091918.23</f>
        <v>4695450.1399999997</v>
      </c>
      <c r="D70" s="153">
        <f>610071.03+769899.17</f>
        <v>1379970.2000000002</v>
      </c>
      <c r="E70" s="153">
        <f t="shared" si="3"/>
        <v>2143.79</v>
      </c>
      <c r="F70" s="153">
        <v>2484.0100000000002</v>
      </c>
      <c r="G70" s="154">
        <f t="shared" si="2"/>
        <v>46.478451069369619</v>
      </c>
    </row>
    <row r="71" spans="1:7" x14ac:dyDescent="0.2">
      <c r="A71" s="94" t="s">
        <v>359</v>
      </c>
      <c r="B71" s="153">
        <f>1978727.74+11177757.05</f>
        <v>13156484.790000001</v>
      </c>
      <c r="C71" s="153">
        <f>1237276.81+3478692.44</f>
        <v>4715969.25</v>
      </c>
      <c r="D71" s="153">
        <f>499432.12+886399.68</f>
        <v>1385831.8</v>
      </c>
      <c r="E71" s="153">
        <f t="shared" si="3"/>
        <v>2143.79</v>
      </c>
      <c r="F71" s="153">
        <v>2484.0100000000002</v>
      </c>
      <c r="G71" s="154">
        <f t="shared" si="2"/>
        <v>46.343482680376354</v>
      </c>
    </row>
    <row r="72" spans="1:7" x14ac:dyDescent="0.2">
      <c r="A72" s="94" t="s">
        <v>360</v>
      </c>
      <c r="B72" s="153">
        <f>1412666.82+11789912.85</f>
        <v>13202579.67</v>
      </c>
      <c r="C72" s="153">
        <f>907534.85+3872875.92</f>
        <v>4780410.7699999996</v>
      </c>
      <c r="D72" s="153">
        <f>396622.46+1003086.02</f>
        <v>1399708.48</v>
      </c>
      <c r="E72" s="153">
        <f t="shared" si="3"/>
        <v>2143.79</v>
      </c>
      <c r="F72" s="153">
        <v>2484.0100000000002</v>
      </c>
      <c r="G72" s="154">
        <f t="shared" si="2"/>
        <v>46.774884941860762</v>
      </c>
    </row>
    <row r="73" spans="1:7" x14ac:dyDescent="0.2">
      <c r="A73" s="94" t="s">
        <v>361</v>
      </c>
      <c r="B73" s="153">
        <f>716841.24+12445001.31</f>
        <v>13161842.550000001</v>
      </c>
      <c r="C73" s="153">
        <f>367819.93+4469846.72</f>
        <v>4837666.6499999994</v>
      </c>
      <c r="D73" s="153">
        <f>297535.37+1119074.27</f>
        <v>1416609.6400000001</v>
      </c>
      <c r="E73" s="153">
        <f t="shared" si="3"/>
        <v>2143.79</v>
      </c>
      <c r="F73" s="153">
        <v>2484.0100000000002</v>
      </c>
      <c r="G73" s="154">
        <f t="shared" si="2"/>
        <v>47.48308199447348</v>
      </c>
    </row>
    <row r="74" spans="1:7" x14ac:dyDescent="0.2">
      <c r="A74" s="94" t="s">
        <v>362</v>
      </c>
      <c r="B74" s="153">
        <f>13076129.12</f>
        <v>13076129.119999999</v>
      </c>
      <c r="C74" s="153">
        <f>5035878.82</f>
        <v>5035878.82</v>
      </c>
      <c r="D74" s="153">
        <f>1446770.98</f>
        <v>1446770.98</v>
      </c>
      <c r="E74" s="153">
        <f>2143.79</f>
        <v>2143.79</v>
      </c>
      <c r="F74" s="153">
        <f>104116.95+2484.01</f>
        <v>106600.95999999999</v>
      </c>
      <c r="G74" s="154">
        <f t="shared" si="2"/>
        <v>48.744586348960752</v>
      </c>
    </row>
    <row r="75" spans="1:7" x14ac:dyDescent="0.2">
      <c r="A75" s="94" t="s">
        <v>363</v>
      </c>
      <c r="B75" s="153">
        <f>11468560.06+1554180.82</f>
        <v>13022740.880000001</v>
      </c>
      <c r="C75" s="153">
        <f>4657157.18+376923.31</f>
        <v>5034080.4899999993</v>
      </c>
      <c r="D75" s="153">
        <f>1335716.28+151999.05</f>
        <v>1487715.33</v>
      </c>
      <c r="E75" s="153">
        <v>2143.79</v>
      </c>
      <c r="F75" s="153">
        <v>106600.96000000001</v>
      </c>
      <c r="G75" s="154">
        <f t="shared" si="2"/>
        <v>49.245017842971919</v>
      </c>
    </row>
    <row r="76" spans="1:7" x14ac:dyDescent="0.2">
      <c r="A76" s="94" t="s">
        <v>364</v>
      </c>
      <c r="B76" s="153">
        <f>9025376.56+3532000.57</f>
        <v>12557377.130000001</v>
      </c>
      <c r="C76" s="153">
        <f>4286923.31+810308.23</f>
        <v>5097231.5399999991</v>
      </c>
      <c r="D76" s="153">
        <f>1235896.32+275449.9</f>
        <v>1511346.2200000002</v>
      </c>
      <c r="E76" s="153">
        <f>2143.79+2520.17</f>
        <v>4663.96</v>
      </c>
      <c r="F76" s="153">
        <v>106600.96000000001</v>
      </c>
      <c r="G76" s="154">
        <f t="shared" si="2"/>
        <v>51.741002700935837</v>
      </c>
    </row>
    <row r="77" spans="1:7" x14ac:dyDescent="0.2">
      <c r="A77" s="157" t="s">
        <v>365</v>
      </c>
      <c r="B77" s="153">
        <f>7697903.91+4716916.16</f>
        <v>12414820.07</v>
      </c>
      <c r="C77" s="153">
        <f>3975415.05+1259055.24</f>
        <v>5234470.29</v>
      </c>
      <c r="D77" s="153">
        <f>1128868.79+403949.78</f>
        <v>1532818.57</v>
      </c>
      <c r="E77" s="153">
        <v>4721.99</v>
      </c>
      <c r="F77" s="153">
        <v>106600.96000000001</v>
      </c>
      <c r="G77" s="154">
        <f t="shared" si="2"/>
        <v>53.613067869456444</v>
      </c>
    </row>
    <row r="78" spans="1:7" x14ac:dyDescent="0.2">
      <c r="A78" s="157" t="s">
        <v>366</v>
      </c>
      <c r="B78" s="153">
        <f>6274364.98+6319937.82</f>
        <v>12594302.800000001</v>
      </c>
      <c r="C78" s="153">
        <f>1720489.36+3635847.13</f>
        <v>5356336.49</v>
      </c>
      <c r="D78" s="153">
        <f>530675.78+1031101.15</f>
        <v>1561776.9300000002</v>
      </c>
      <c r="E78" s="153">
        <v>4721.99</v>
      </c>
      <c r="F78" s="153">
        <v>106600.96000000001</v>
      </c>
      <c r="G78" s="154">
        <f t="shared" si="2"/>
        <v>54.046584222192905</v>
      </c>
    </row>
    <row r="79" spans="1:7" x14ac:dyDescent="0.2">
      <c r="A79" s="157" t="s">
        <v>367</v>
      </c>
      <c r="B79" s="153">
        <f>5308348.2+7404988.12</f>
        <v>12713336.32</v>
      </c>
      <c r="C79" s="153">
        <f>3203927.45+2127518.53</f>
        <v>5331445.9800000004</v>
      </c>
      <c r="D79" s="153">
        <f>917550.68+701902.28</f>
        <v>1619452.96</v>
      </c>
      <c r="E79" s="153">
        <v>23483.3</v>
      </c>
      <c r="F79" s="153">
        <v>106600.96000000001</v>
      </c>
      <c r="G79" s="154">
        <f t="shared" si="2"/>
        <v>53.650863222031084</v>
      </c>
    </row>
    <row r="80" spans="1:7" x14ac:dyDescent="0.2">
      <c r="A80" s="157" t="s">
        <v>368</v>
      </c>
      <c r="B80" s="153">
        <f>4436588.49+8552304.89</f>
        <v>12988893.380000001</v>
      </c>
      <c r="C80" s="153">
        <f>2678295.41+2669839.93</f>
        <v>5348135.34</v>
      </c>
      <c r="D80" s="153">
        <f>790355.55+804397.53</f>
        <v>1594753.08</v>
      </c>
      <c r="E80" s="153">
        <v>23483.3</v>
      </c>
      <c r="F80" s="153">
        <f>104116.95+2484.01</f>
        <v>106600.95999999999</v>
      </c>
      <c r="G80" s="154">
        <f t="shared" si="2"/>
        <v>52.450997638414677</v>
      </c>
    </row>
    <row r="81" spans="1:8" x14ac:dyDescent="0.2">
      <c r="A81" s="157" t="s">
        <v>369</v>
      </c>
      <c r="B81" s="153">
        <f>3465236.18+9745260.01</f>
        <v>13210496.189999999</v>
      </c>
      <c r="C81" s="153">
        <f>2301452.92+3065940.39</f>
        <v>5367393.3100000005</v>
      </c>
      <c r="D81" s="153">
        <f>673716.83+939172.13</f>
        <v>1612888.96</v>
      </c>
      <c r="E81" s="153">
        <v>23483.3</v>
      </c>
      <c r="F81" s="153">
        <f>104116.95+2484.01</f>
        <v>106600.95999999999</v>
      </c>
      <c r="G81" s="154">
        <f t="shared" si="2"/>
        <v>51.85420677222875</v>
      </c>
    </row>
    <row r="82" spans="1:8" x14ac:dyDescent="0.2">
      <c r="A82" s="157" t="s">
        <v>370</v>
      </c>
      <c r="B82" s="153">
        <f>2610973.76+10760293.17</f>
        <v>13371266.93</v>
      </c>
      <c r="C82" s="153">
        <f>1920587.73+3484687.75</f>
        <v>5405275.4800000004</v>
      </c>
      <c r="D82" s="153">
        <f>553179.34+1072061.99</f>
        <v>1625241.33</v>
      </c>
      <c r="E82" s="153">
        <v>34585.14</v>
      </c>
      <c r="F82" s="153">
        <v>104116.95</v>
      </c>
      <c r="G82" s="154">
        <f t="shared" si="2"/>
        <v>51.54197247036786</v>
      </c>
    </row>
    <row r="83" spans="1:8" x14ac:dyDescent="0.2">
      <c r="A83" s="162" t="s">
        <v>371</v>
      </c>
      <c r="B83" s="163">
        <f>1898372.07+11255803.65</f>
        <v>13154175.720000001</v>
      </c>
      <c r="C83" s="163">
        <f>1533813.52+3906687.84</f>
        <v>5440501.3599999994</v>
      </c>
      <c r="D83" s="163">
        <f>436493+1198872.02</f>
        <v>1635365.02</v>
      </c>
      <c r="E83" s="163">
        <v>34585.14</v>
      </c>
      <c r="F83" s="163">
        <v>104116.95</v>
      </c>
      <c r="G83" s="164">
        <f t="shared" si="2"/>
        <v>52.737354568348415</v>
      </c>
      <c r="H83" s="165" t="s">
        <v>372</v>
      </c>
    </row>
    <row r="84" spans="1:8" x14ac:dyDescent="0.2">
      <c r="A84" s="94" t="s">
        <v>371</v>
      </c>
      <c r="B84" s="153">
        <f>1898372.07+11255803.65+281847.56</f>
        <v>13436023.280000001</v>
      </c>
      <c r="C84" s="153">
        <f>1533813.52+3906687.84</f>
        <v>5440501.3599999994</v>
      </c>
      <c r="D84" s="153">
        <f>436493+1198872.02</f>
        <v>1635365.02</v>
      </c>
      <c r="E84" s="153">
        <v>34585.14</v>
      </c>
      <c r="F84" s="153">
        <v>104116.95</v>
      </c>
      <c r="G84" s="154">
        <f t="shared" si="2"/>
        <v>51.631082690413436</v>
      </c>
    </row>
    <row r="85" spans="1:8" x14ac:dyDescent="0.2">
      <c r="A85" s="94" t="s">
        <v>373</v>
      </c>
      <c r="B85" s="58">
        <f>1286216.27+12164243.97</f>
        <v>13450460.24</v>
      </c>
      <c r="C85" s="58">
        <f>1151545.21+4319468.51</f>
        <v>5471013.7199999997</v>
      </c>
      <c r="D85" s="58">
        <f>324369.47+1327952.08</f>
        <v>1652321.55</v>
      </c>
      <c r="E85" s="58">
        <v>34585.14</v>
      </c>
      <c r="F85" s="58">
        <f>104116.95+10902.08</f>
        <v>115019.03</v>
      </c>
      <c r="G85" s="63">
        <f t="shared" si="2"/>
        <v>51.847527709579701</v>
      </c>
    </row>
    <row r="86" spans="1:8" x14ac:dyDescent="0.2">
      <c r="A86" s="94" t="s">
        <v>374</v>
      </c>
      <c r="B86" s="58">
        <f>631127.81+12830456.76</f>
        <v>13461584.57</v>
      </c>
      <c r="C86" s="58">
        <f>565203.17+4906291.76</f>
        <v>5471494.9299999997</v>
      </c>
      <c r="D86" s="58">
        <f>196133.69+1568068.77</f>
        <v>1764202.46</v>
      </c>
      <c r="E86" s="58">
        <v>34585.14</v>
      </c>
      <c r="F86" s="58">
        <f>104116.95+10902.08</f>
        <v>115019.03</v>
      </c>
      <c r="G86" s="63">
        <f t="shared" si="2"/>
        <v>52.639369333917877</v>
      </c>
    </row>
    <row r="87" spans="1:8" x14ac:dyDescent="0.2">
      <c r="A87" s="94" t="s">
        <v>375</v>
      </c>
      <c r="B87" s="58">
        <v>13617845.52</v>
      </c>
      <c r="C87" s="58">
        <v>5469428.5999999996</v>
      </c>
      <c r="D87" s="58">
        <v>1703707.1</v>
      </c>
      <c r="E87" s="58">
        <v>47578.02</v>
      </c>
      <c r="F87" s="58">
        <v>10902.08</v>
      </c>
      <c r="G87" s="63">
        <f t="shared" si="2"/>
        <v>52.245089647631715</v>
      </c>
    </row>
    <row r="88" spans="1:8" x14ac:dyDescent="0.2">
      <c r="A88" s="94" t="s">
        <v>376</v>
      </c>
      <c r="B88" s="58">
        <f>12070769.52-2900+2016695.91</f>
        <v>14084565.43</v>
      </c>
      <c r="C88" s="58">
        <f>5057211.33+408664.37</f>
        <v>5465875.7000000002</v>
      </c>
      <c r="D88" s="58">
        <f>1551708.05+132697.11</f>
        <v>1684405.1600000001</v>
      </c>
      <c r="E88" s="58">
        <f>47578.02</f>
        <v>47578.02</v>
      </c>
      <c r="F88" s="58">
        <v>10902.08</v>
      </c>
      <c r="G88" s="63">
        <f t="shared" si="2"/>
        <v>50.351576662028407</v>
      </c>
    </row>
    <row r="89" spans="1:8" x14ac:dyDescent="0.2">
      <c r="A89" s="94" t="s">
        <v>377</v>
      </c>
      <c r="B89" s="58">
        <f>10092949.77-2900+4347876.2</f>
        <v>14437925.969999999</v>
      </c>
      <c r="C89" s="58">
        <f>4623836.41+879868.22</f>
        <v>5503704.6299999999</v>
      </c>
      <c r="D89" s="58">
        <f>1428257.2+259804.39</f>
        <v>1688061.5899999999</v>
      </c>
      <c r="E89" s="58">
        <f>45057.85+9088.95</f>
        <v>54146.8</v>
      </c>
      <c r="F89" s="58">
        <v>10902.08</v>
      </c>
      <c r="G89" s="63">
        <f t="shared" si="2"/>
        <v>49.361087976267001</v>
      </c>
    </row>
    <row r="90" spans="1:8" x14ac:dyDescent="0.2">
      <c r="A90" s="94" t="s">
        <v>378</v>
      </c>
      <c r="B90" s="58">
        <f>8908282.41-2900+5339254.47</f>
        <v>14244636.879999999</v>
      </c>
      <c r="C90" s="58">
        <f>4175089.49+1312498.59</f>
        <v>5487588.0800000001</v>
      </c>
      <c r="D90" s="58">
        <f>1299757.32+396758.61</f>
        <v>1696515.9300000002</v>
      </c>
      <c r="E90" s="58">
        <f>42856.03+9088.95</f>
        <v>51944.979999999996</v>
      </c>
      <c r="F90" s="58">
        <v>10902.08</v>
      </c>
      <c r="G90" s="63">
        <f t="shared" si="2"/>
        <v>49.992548142792678</v>
      </c>
    </row>
    <row r="91" spans="1:8" x14ac:dyDescent="0.2">
      <c r="A91" s="94" t="s">
        <v>379</v>
      </c>
      <c r="B91" s="58">
        <f>7348362.85+6698309.8</f>
        <v>14046672.649999999</v>
      </c>
      <c r="C91" s="58">
        <f>3713655.28+1791393.76</f>
        <v>5505049.04</v>
      </c>
      <c r="D91" s="58">
        <f>1173031.32+529786.37</f>
        <v>1702817.69</v>
      </c>
      <c r="E91" s="58">
        <f>42856.03+9088.95</f>
        <v>51944.979999999996</v>
      </c>
      <c r="F91" s="58">
        <v>10902.08</v>
      </c>
      <c r="G91" s="63">
        <f t="shared" si="2"/>
        <v>50.866278783822885</v>
      </c>
    </row>
    <row r="92" spans="1:8" x14ac:dyDescent="0.2">
      <c r="A92" s="94" t="s">
        <v>380</v>
      </c>
      <c r="B92" s="58">
        <f>6220767.26+7827668.98</f>
        <v>14048436.24</v>
      </c>
      <c r="C92" s="58">
        <f>3306626.11+2214082.33</f>
        <v>5520708.4399999995</v>
      </c>
      <c r="D92" s="58">
        <f>1037446.09+702214.84</f>
        <v>1739660.93</v>
      </c>
      <c r="E92" s="58">
        <f>24094.72+9088.95</f>
        <v>33183.67</v>
      </c>
      <c r="F92" s="58">
        <v>10902.08</v>
      </c>
      <c r="G92" s="63">
        <f t="shared" si="2"/>
        <v>51.367166400009225</v>
      </c>
    </row>
    <row r="93" spans="1:8" x14ac:dyDescent="0.2">
      <c r="A93" s="94" t="s">
        <v>381</v>
      </c>
      <c r="B93" s="58">
        <f>13225477.44</f>
        <v>13225477.439999999</v>
      </c>
      <c r="C93" s="58">
        <v>5594293.2699999996</v>
      </c>
      <c r="D93" s="58">
        <v>1651838.16</v>
      </c>
      <c r="E93" s="58">
        <v>33183.67</v>
      </c>
      <c r="F93" s="58">
        <v>10902.08</v>
      </c>
      <c r="G93" s="63">
        <f t="shared" si="2"/>
        <v>54.455846397028061</v>
      </c>
    </row>
    <row r="94" spans="1:8" x14ac:dyDescent="0.2">
      <c r="A94" s="94" t="s">
        <v>382</v>
      </c>
      <c r="B94" s="58">
        <f>3875485.51+9886364.3</f>
        <v>13761849.810000001</v>
      </c>
      <c r="C94" s="58">
        <f>2368204.25+3283037.59</f>
        <v>5651241.8399999999</v>
      </c>
      <c r="D94" s="58">
        <f>764534.97+1081187.21</f>
        <v>1845722.18</v>
      </c>
      <c r="E94" s="58">
        <f>24094.72+40279.82</f>
        <v>64374.54</v>
      </c>
      <c r="F94" s="58">
        <v>10902.08</v>
      </c>
      <c r="G94" s="63">
        <f t="shared" si="2"/>
        <v>53.929431744030921</v>
      </c>
    </row>
    <row r="95" spans="1:8" x14ac:dyDescent="0.2">
      <c r="A95" s="94" t="s">
        <v>383</v>
      </c>
      <c r="B95" s="58">
        <f>2860385.25+10911009.69</f>
        <v>13771394.939999999</v>
      </c>
      <c r="C95" s="58">
        <f>1949456.89+3724229.66</f>
        <v>5673686.5499999998</v>
      </c>
      <c r="D95" s="58">
        <f>631264.48+1259020.42</f>
        <v>1890284.9</v>
      </c>
      <c r="E95" s="58">
        <f>12992.88+40279.82</f>
        <v>53272.7</v>
      </c>
      <c r="F95" s="58">
        <v>10902.08</v>
      </c>
      <c r="G95" s="63">
        <f t="shared" si="2"/>
        <v>54.459237445992528</v>
      </c>
    </row>
    <row r="96" spans="1:8" x14ac:dyDescent="0.2">
      <c r="A96" s="94" t="s">
        <v>384</v>
      </c>
      <c r="B96" s="58">
        <f>2358182.72+11708963.88</f>
        <v>14067146.600000001</v>
      </c>
      <c r="C96" s="58">
        <f>1527456.8+4184157.91</f>
        <v>5711614.71</v>
      </c>
      <c r="D96" s="58">
        <f>504835.08+1571579.66</f>
        <v>2076414.74</v>
      </c>
      <c r="E96" s="58">
        <f>12992.88+42602.21</f>
        <v>55595.09</v>
      </c>
      <c r="F96" s="58">
        <v>10902.08</v>
      </c>
      <c r="G96" s="63">
        <f t="shared" si="2"/>
        <v>54.890536791590691</v>
      </c>
    </row>
    <row r="97" spans="1:7" x14ac:dyDescent="0.2">
      <c r="A97" s="94" t="s">
        <v>385</v>
      </c>
      <c r="B97" s="58">
        <f>1479899.61+12602616.73</f>
        <v>14082516.34</v>
      </c>
      <c r="C97" s="58">
        <f>1114676.13+4598133.74</f>
        <v>5712809.8700000001</v>
      </c>
      <c r="D97" s="58">
        <f>375755.02+1752040.17</f>
        <v>2127795.19</v>
      </c>
      <c r="E97" s="58">
        <f>12992.88+42602.21</f>
        <v>55595.09</v>
      </c>
      <c r="F97" s="58">
        <v>0</v>
      </c>
      <c r="G97" s="63">
        <f t="shared" si="2"/>
        <v>55.28138425011052</v>
      </c>
    </row>
    <row r="98" spans="1:7" x14ac:dyDescent="0.2">
      <c r="A98" s="94" t="s">
        <v>386</v>
      </c>
      <c r="B98" s="58">
        <f>813686.82+13320926.91</f>
        <v>14134613.73</v>
      </c>
      <c r="C98" s="58">
        <f>527852.88+5337972.81</f>
        <v>5865825.6899999995</v>
      </c>
      <c r="D98" s="58">
        <f>135638.33+1955346.6</f>
        <v>2090984.9300000002</v>
      </c>
      <c r="E98" s="58">
        <f>12992.88+42602.21</f>
        <v>55595.09</v>
      </c>
      <c r="F98" s="58">
        <v>0</v>
      </c>
      <c r="G98" s="63">
        <f t="shared" si="2"/>
        <v>55.899762674306906</v>
      </c>
    </row>
    <row r="99" spans="1:7" x14ac:dyDescent="0.2">
      <c r="A99" s="94" t="s">
        <v>387</v>
      </c>
      <c r="B99" s="58">
        <v>14078257.050000001</v>
      </c>
      <c r="C99" s="77">
        <v>5915384.21</v>
      </c>
      <c r="D99" s="77">
        <v>2143377.13</v>
      </c>
      <c r="E99" s="77">
        <f>42602.21</f>
        <v>42602.21</v>
      </c>
      <c r="F99" s="58">
        <v>0</v>
      </c>
      <c r="G99" s="58">
        <f t="shared" ref="G99:G110" si="4">((C99+D99)-(E99+F99))/B99*100</f>
        <v>56.939996915314175</v>
      </c>
    </row>
    <row r="100" spans="1:7" x14ac:dyDescent="0.2">
      <c r="A100" s="101" t="s">
        <v>388</v>
      </c>
      <c r="B100" s="63">
        <f>11907751.55+2143358.01</f>
        <v>14051109.560000001</v>
      </c>
      <c r="C100" s="63">
        <f>5506719.84+479971.66</f>
        <v>5986691.5</v>
      </c>
      <c r="D100" s="63">
        <f>2010680.02+187828.47</f>
        <v>2198508.4900000002</v>
      </c>
      <c r="E100" s="63">
        <f>42602.21+24691.33</f>
        <v>67293.540000000008</v>
      </c>
      <c r="F100" s="63">
        <v>0</v>
      </c>
      <c r="G100" s="63">
        <f t="shared" si="4"/>
        <v>57.774131041648502</v>
      </c>
    </row>
    <row r="101" spans="1:7" x14ac:dyDescent="0.2">
      <c r="A101" s="94" t="s">
        <v>389</v>
      </c>
      <c r="B101" s="58">
        <f>9730380.85+4100880.65</f>
        <v>13831261.5</v>
      </c>
      <c r="C101" s="58">
        <f>5035515.99+1006133.69</f>
        <v>6041649.6799999997</v>
      </c>
      <c r="D101" s="58">
        <f>1883572.74+364497.69</f>
        <v>2248070.4300000002</v>
      </c>
      <c r="E101" s="58">
        <f>33513.26+24691.33</f>
        <v>58204.590000000004</v>
      </c>
      <c r="F101" s="58">
        <v>0</v>
      </c>
      <c r="G101" s="63">
        <f t="shared" si="4"/>
        <v>59.513844922966705</v>
      </c>
    </row>
    <row r="102" spans="1:7" x14ac:dyDescent="0.2">
      <c r="A102" s="94" t="s">
        <v>390</v>
      </c>
      <c r="B102" s="58">
        <f>8739002.56+5521347.13</f>
        <v>14260349.690000001</v>
      </c>
      <c r="C102" s="58">
        <f>4602885.62+1425265.2</f>
        <v>6028150.8200000003</v>
      </c>
      <c r="D102" s="58">
        <f>1746618.52+544841.54</f>
        <v>2291460.06</v>
      </c>
      <c r="E102" s="58">
        <f>33513.26+24691.33</f>
        <v>58204.590000000004</v>
      </c>
      <c r="F102" s="58">
        <v>0</v>
      </c>
      <c r="G102" s="63">
        <f t="shared" si="4"/>
        <v>57.932704804520121</v>
      </c>
    </row>
    <row r="103" spans="1:7" x14ac:dyDescent="0.2">
      <c r="A103" s="94" t="s">
        <v>391</v>
      </c>
      <c r="B103" s="58">
        <f>7379947.25+6327392.22</f>
        <v>13707339.469999999</v>
      </c>
      <c r="C103" s="58">
        <f>4123990.45+1997020.05</f>
        <v>6121010.5</v>
      </c>
      <c r="D103" s="58">
        <f>1613590.76+729669.4</f>
        <v>2343260.1600000001</v>
      </c>
      <c r="E103" s="58">
        <f>33513.26+24691.33</f>
        <v>58204.590000000004</v>
      </c>
      <c r="F103" s="58">
        <v>0</v>
      </c>
      <c r="G103" s="63">
        <f t="shared" si="4"/>
        <v>61.325292835984612</v>
      </c>
    </row>
    <row r="104" spans="1:7" x14ac:dyDescent="0.2">
      <c r="A104" s="94" t="s">
        <v>392</v>
      </c>
      <c r="B104" s="58">
        <f>6251473.25+6877953.03</f>
        <v>13129426.280000001</v>
      </c>
      <c r="C104" s="58">
        <f>3701301.88+2474403.06</f>
        <v>6175704.9399999995</v>
      </c>
      <c r="D104" s="58">
        <f>1441162.29+909780.65</f>
        <v>2350942.94</v>
      </c>
      <c r="E104" s="58">
        <f>33513.26+33256.96</f>
        <v>66770.22</v>
      </c>
      <c r="F104" s="58">
        <v>0</v>
      </c>
      <c r="G104" s="63">
        <f t="shared" si="4"/>
        <v>64.434480833994201</v>
      </c>
    </row>
    <row r="105" spans="1:7" x14ac:dyDescent="0.2">
      <c r="A105" s="94" t="s">
        <v>393</v>
      </c>
      <c r="B105" s="58">
        <f>5205791.23+7493230.84</f>
        <v>12699022.07</v>
      </c>
      <c r="C105" s="58">
        <f>3085395.66+3004003.56</f>
        <v>6089399.2200000007</v>
      </c>
      <c r="D105" s="58">
        <f>1246001.62+1093235.9</f>
        <v>2339237.52</v>
      </c>
      <c r="E105" s="58">
        <f>33513.26+33256.96</f>
        <v>66770.22</v>
      </c>
      <c r="F105" s="58">
        <v>0</v>
      </c>
      <c r="G105" s="63">
        <f t="shared" si="4"/>
        <v>65.846539000463366</v>
      </c>
    </row>
    <row r="106" spans="1:7" x14ac:dyDescent="0.2">
      <c r="A106" s="94" t="s">
        <v>394</v>
      </c>
      <c r="B106" s="58">
        <f>4191893.25+9138086.12</f>
        <v>13329979.369999999</v>
      </c>
      <c r="C106" s="58">
        <f>2632346.62+3452706.27</f>
        <v>6085052.8900000006</v>
      </c>
      <c r="D106" s="58">
        <f>1062189.92+1267730.2</f>
        <v>2329920.12</v>
      </c>
      <c r="E106" s="58">
        <f>2322.39+33256.96</f>
        <v>35579.35</v>
      </c>
      <c r="F106" s="58">
        <v>0</v>
      </c>
      <c r="G106" s="58">
        <f t="shared" si="4"/>
        <v>62.861265028349422</v>
      </c>
    </row>
    <row r="107" spans="1:7" x14ac:dyDescent="0.2">
      <c r="A107" s="94" t="s">
        <v>395</v>
      </c>
      <c r="B107" s="58">
        <f>3167381.86+9860238.62</f>
        <v>13027620.479999999</v>
      </c>
      <c r="C107" s="58">
        <f>2191154.55+3930343.62</f>
        <v>6121498.1699999999</v>
      </c>
      <c r="D107" s="58">
        <f>884356.71+1438017.12</f>
        <v>2322373.83</v>
      </c>
      <c r="E107" s="58">
        <f>2322.39+33256.96</f>
        <v>35579.35</v>
      </c>
      <c r="F107" s="58">
        <v>0</v>
      </c>
      <c r="G107" s="58">
        <f t="shared" si="4"/>
        <v>64.542044826285888</v>
      </c>
    </row>
    <row r="108" spans="1:7" x14ac:dyDescent="0.2">
      <c r="A108" s="94" t="s">
        <v>396</v>
      </c>
      <c r="B108" s="58">
        <f>2369427.67+10978403.47</f>
        <v>13347831.140000001</v>
      </c>
      <c r="C108" s="58">
        <f>1731226.3+4420379.14</f>
        <v>6151605.4399999995</v>
      </c>
      <c r="D108" s="58">
        <f>571797.47+1610634.82</f>
        <v>2182432.29</v>
      </c>
      <c r="E108" s="58">
        <v>33256.959999999999</v>
      </c>
      <c r="F108" s="58">
        <v>0</v>
      </c>
      <c r="G108" s="58">
        <f t="shared" si="4"/>
        <v>62.188236297990798</v>
      </c>
    </row>
    <row r="109" spans="1:7" x14ac:dyDescent="0.2">
      <c r="A109" s="94" t="s">
        <v>397</v>
      </c>
      <c r="B109" s="58">
        <f>1475774.82+12168611.09</f>
        <v>13644385.91</v>
      </c>
      <c r="C109" s="58">
        <f>1317250.47+4890078.58</f>
        <v>6207329.0499999998</v>
      </c>
      <c r="D109" s="58">
        <f>391336.96+1793673.61</f>
        <v>2185010.5700000003</v>
      </c>
      <c r="E109" s="58">
        <f>0+33256.96</f>
        <v>33256.959999999999</v>
      </c>
      <c r="F109" s="58">
        <v>0</v>
      </c>
      <c r="G109" s="58">
        <f t="shared" si="4"/>
        <v>61.26389795141759</v>
      </c>
    </row>
    <row r="110" spans="1:7" x14ac:dyDescent="0.2">
      <c r="A110" s="94" t="s">
        <v>398</v>
      </c>
      <c r="B110" s="58">
        <f>603473.38+13031320.25</f>
        <v>13634793.630000001</v>
      </c>
      <c r="C110" s="58">
        <f>626848.18+5625788.84</f>
        <v>6252637.0199999996</v>
      </c>
      <c r="D110" s="58">
        <f>188030.53+2130818.18</f>
        <v>2318848.71</v>
      </c>
      <c r="E110" s="58">
        <f>33256.96</f>
        <v>33256.959999999999</v>
      </c>
      <c r="F110" s="58">
        <v>0</v>
      </c>
      <c r="G110" s="58">
        <f t="shared" si="4"/>
        <v>62.620887427395544</v>
      </c>
    </row>
  </sheetData>
  <mergeCells count="4">
    <mergeCell ref="A1:G1"/>
    <mergeCell ref="J3:L3"/>
    <mergeCell ref="J22:K23"/>
    <mergeCell ref="L22:L23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AMK67"/>
  <sheetViews>
    <sheetView zoomScale="160" zoomScaleNormal="160" workbookViewId="0">
      <pane xSplit="4" ySplit="13" topLeftCell="E17" activePane="bottomRight" state="frozen"/>
      <selection pane="topRight" activeCell="E1" sqref="E1"/>
      <selection pane="bottomLeft" activeCell="A17" sqref="A17"/>
      <selection pane="bottomRight" activeCell="J19" sqref="J19"/>
    </sheetView>
  </sheetViews>
  <sheetFormatPr defaultRowHeight="12.75" x14ac:dyDescent="0.2"/>
  <cols>
    <col min="1" max="1" width="22" style="94" customWidth="1"/>
    <col min="2" max="2" width="32.42578125" style="94" customWidth="1"/>
    <col min="3" max="3" width="12.42578125" style="94" customWidth="1"/>
    <col min="4" max="4" width="14.42578125" style="94" customWidth="1"/>
    <col min="5" max="5" width="17.5703125" style="94" customWidth="1"/>
    <col min="6" max="6" width="7.42578125" style="94" customWidth="1"/>
    <col min="7" max="7" width="11.28515625" style="94" customWidth="1"/>
    <col min="8" max="8" width="7.42578125" style="94" customWidth="1"/>
    <col min="9" max="10" width="11.28515625" style="94" customWidth="1"/>
    <col min="11" max="11" width="12.85546875" style="94" customWidth="1"/>
    <col min="12" max="1025" width="7.42578125" style="94" customWidth="1"/>
  </cols>
  <sheetData>
    <row r="1" spans="1:11" x14ac:dyDescent="0.2">
      <c r="B1" s="166" t="s">
        <v>399</v>
      </c>
    </row>
    <row r="2" spans="1:11" x14ac:dyDescent="0.2">
      <c r="C2" s="166" t="s">
        <v>400</v>
      </c>
      <c r="D2" s="166" t="s">
        <v>401</v>
      </c>
      <c r="E2" s="166" t="s">
        <v>402</v>
      </c>
      <c r="G2" s="153"/>
      <c r="I2" s="102">
        <f>Despesas!B30</f>
        <v>58572.800000000047</v>
      </c>
      <c r="J2" s="102">
        <f>Despesas!C30</f>
        <v>398141.27999999933</v>
      </c>
    </row>
    <row r="3" spans="1:11" x14ac:dyDescent="0.2">
      <c r="A3" s="166" t="s">
        <v>403</v>
      </c>
      <c r="B3" s="166" t="s">
        <v>404</v>
      </c>
      <c r="C3" s="167">
        <f>C4+C8+C11+C36+C39+C43+C46+C26+C31</f>
        <v>1310442.06</v>
      </c>
      <c r="D3" s="167">
        <f>D4+D8+D11+D36+D39+D43+D46</f>
        <v>58572.799999999996</v>
      </c>
      <c r="E3" s="167">
        <f>E4+E8+E11+E36+E39+E43+E46</f>
        <v>398141.28</v>
      </c>
      <c r="G3" s="153"/>
      <c r="I3" s="168">
        <f>D3</f>
        <v>58572.799999999996</v>
      </c>
      <c r="J3" s="168">
        <f>E3</f>
        <v>398141.28</v>
      </c>
      <c r="K3" s="168"/>
    </row>
    <row r="4" spans="1:11" x14ac:dyDescent="0.2">
      <c r="A4" s="166" t="s">
        <v>405</v>
      </c>
      <c r="B4" s="166" t="s">
        <v>406</v>
      </c>
      <c r="C4" s="167">
        <f>C5+C6</f>
        <v>72042.06</v>
      </c>
      <c r="D4" s="167">
        <f>D5+D6</f>
        <v>3206.75</v>
      </c>
      <c r="E4" s="167">
        <f>E5+E6</f>
        <v>29759.15</v>
      </c>
      <c r="G4" s="153"/>
      <c r="I4" s="169">
        <f>I2-I3</f>
        <v>0</v>
      </c>
      <c r="J4" s="169">
        <f>J2-J3</f>
        <v>-6.9849193096160889E-10</v>
      </c>
      <c r="K4" s="169"/>
    </row>
    <row r="5" spans="1:11" x14ac:dyDescent="0.2">
      <c r="A5" s="94" t="s">
        <v>407</v>
      </c>
      <c r="B5" s="94" t="s">
        <v>408</v>
      </c>
      <c r="C5" s="170">
        <v>48042.06</v>
      </c>
      <c r="D5" s="170">
        <f>2002</f>
        <v>2002</v>
      </c>
      <c r="E5" s="170">
        <f>15055.2</f>
        <v>15055.2</v>
      </c>
    </row>
    <row r="6" spans="1:11" x14ac:dyDescent="0.2">
      <c r="A6" s="94" t="s">
        <v>409</v>
      </c>
      <c r="B6" s="94" t="s">
        <v>410</v>
      </c>
      <c r="C6" s="168">
        <v>24000</v>
      </c>
      <c r="D6" s="170">
        <f>1204.75</f>
        <v>1204.75</v>
      </c>
      <c r="E6" s="170">
        <f>14703.95</f>
        <v>14703.95</v>
      </c>
    </row>
    <row r="8" spans="1:11" s="166" customFormat="1" ht="11.25" x14ac:dyDescent="0.2">
      <c r="A8" s="166" t="s">
        <v>411</v>
      </c>
      <c r="B8" s="166" t="s">
        <v>412</v>
      </c>
      <c r="C8" s="171">
        <f>C9</f>
        <v>5000</v>
      </c>
      <c r="D8" s="171">
        <f>D9</f>
        <v>0</v>
      </c>
      <c r="E8" s="171">
        <f>E9</f>
        <v>0</v>
      </c>
    </row>
    <row r="9" spans="1:11" x14ac:dyDescent="0.2">
      <c r="A9" s="94" t="s">
        <v>413</v>
      </c>
      <c r="B9" s="94" t="s">
        <v>414</v>
      </c>
      <c r="C9" s="168">
        <v>5000</v>
      </c>
      <c r="D9" s="168">
        <v>0</v>
      </c>
      <c r="E9" s="168">
        <v>0</v>
      </c>
    </row>
    <row r="11" spans="1:11" s="166" customFormat="1" ht="11.25" x14ac:dyDescent="0.2">
      <c r="A11" s="166" t="s">
        <v>415</v>
      </c>
      <c r="B11" s="166" t="s">
        <v>416</v>
      </c>
      <c r="C11" s="171">
        <f>C12+C26+C28+C31</f>
        <v>255000</v>
      </c>
      <c r="D11" s="171">
        <f>D12+D26+D28+D31</f>
        <v>12395</v>
      </c>
      <c r="E11" s="171">
        <f>E12+E26+E28+E31</f>
        <v>115032.27</v>
      </c>
    </row>
    <row r="12" spans="1:11" s="166" customFormat="1" ht="11.25" x14ac:dyDescent="0.2">
      <c r="A12" s="166" t="s">
        <v>417</v>
      </c>
      <c r="B12" s="166" t="s">
        <v>418</v>
      </c>
      <c r="C12" s="171">
        <f>SUM(C13:C24)</f>
        <v>147000</v>
      </c>
      <c r="D12" s="171">
        <f>SUM(D13:D24)</f>
        <v>0</v>
      </c>
      <c r="E12" s="171">
        <f>SUM(E13:E24)</f>
        <v>38705.86</v>
      </c>
    </row>
    <row r="13" spans="1:11" x14ac:dyDescent="0.2">
      <c r="A13" s="172" t="s">
        <v>419</v>
      </c>
      <c r="B13" s="172" t="s">
        <v>420</v>
      </c>
      <c r="C13" s="170">
        <v>25000</v>
      </c>
      <c r="D13" s="168">
        <v>0</v>
      </c>
      <c r="E13" s="170">
        <v>2182.5</v>
      </c>
    </row>
    <row r="14" spans="1:11" x14ac:dyDescent="0.2">
      <c r="A14" s="172" t="s">
        <v>421</v>
      </c>
      <c r="B14" s="172" t="s">
        <v>422</v>
      </c>
      <c r="C14" s="170">
        <v>8700</v>
      </c>
      <c r="D14" s="168">
        <v>0</v>
      </c>
      <c r="E14" s="170">
        <v>8520</v>
      </c>
    </row>
    <row r="15" spans="1:11" x14ac:dyDescent="0.2">
      <c r="A15" s="172" t="s">
        <v>423</v>
      </c>
      <c r="B15" s="172" t="s">
        <v>424</v>
      </c>
      <c r="C15" s="170">
        <v>10000</v>
      </c>
      <c r="D15" s="170">
        <v>0</v>
      </c>
      <c r="E15" s="168">
        <v>272</v>
      </c>
    </row>
    <row r="16" spans="1:11" x14ac:dyDescent="0.2">
      <c r="A16" s="172" t="s">
        <v>425</v>
      </c>
      <c r="B16" s="172" t="s">
        <v>426</v>
      </c>
      <c r="C16" s="168">
        <v>18000</v>
      </c>
      <c r="D16" s="168">
        <v>0</v>
      </c>
      <c r="E16" s="168">
        <v>0</v>
      </c>
    </row>
    <row r="17" spans="1:5" x14ac:dyDescent="0.2">
      <c r="A17" s="172" t="s">
        <v>427</v>
      </c>
      <c r="B17" s="172" t="s">
        <v>428</v>
      </c>
      <c r="C17" s="168">
        <v>8000</v>
      </c>
      <c r="D17" s="168">
        <v>0</v>
      </c>
      <c r="E17" s="168">
        <v>2398.4</v>
      </c>
    </row>
    <row r="18" spans="1:5" x14ac:dyDescent="0.2">
      <c r="A18" s="172" t="s">
        <v>429</v>
      </c>
      <c r="B18" s="172" t="s">
        <v>430</v>
      </c>
      <c r="C18" s="168">
        <v>8000</v>
      </c>
      <c r="D18" s="170">
        <v>0</v>
      </c>
      <c r="E18" s="170">
        <v>0</v>
      </c>
    </row>
    <row r="19" spans="1:5" x14ac:dyDescent="0.2">
      <c r="A19" s="172" t="s">
        <v>431</v>
      </c>
      <c r="B19" s="172" t="s">
        <v>432</v>
      </c>
      <c r="C19" s="170">
        <v>24000</v>
      </c>
      <c r="D19" s="173"/>
      <c r="E19" s="170">
        <v>15776.18</v>
      </c>
    </row>
    <row r="20" spans="1:5" x14ac:dyDescent="0.2">
      <c r="A20" s="172" t="s">
        <v>433</v>
      </c>
      <c r="B20" s="172" t="s">
        <v>434</v>
      </c>
      <c r="C20" s="170">
        <v>300</v>
      </c>
      <c r="D20" s="170">
        <v>0</v>
      </c>
      <c r="E20" s="170">
        <v>0</v>
      </c>
    </row>
    <row r="21" spans="1:5" x14ac:dyDescent="0.2">
      <c r="A21" s="172" t="s">
        <v>435</v>
      </c>
      <c r="B21" s="172" t="s">
        <v>436</v>
      </c>
      <c r="C21" s="170">
        <v>27000</v>
      </c>
      <c r="D21" s="170">
        <v>0</v>
      </c>
      <c r="E21" s="170">
        <v>6425.44</v>
      </c>
    </row>
    <row r="22" spans="1:5" x14ac:dyDescent="0.2">
      <c r="A22" s="172" t="s">
        <v>437</v>
      </c>
      <c r="B22" s="172" t="s">
        <v>438</v>
      </c>
      <c r="C22" s="170">
        <v>5000</v>
      </c>
      <c r="D22" s="170">
        <v>0</v>
      </c>
      <c r="E22" s="170">
        <v>2231.34</v>
      </c>
    </row>
    <row r="23" spans="1:5" x14ac:dyDescent="0.2">
      <c r="A23" s="172" t="s">
        <v>439</v>
      </c>
      <c r="B23" s="172" t="s">
        <v>440</v>
      </c>
      <c r="C23" s="168">
        <v>5000</v>
      </c>
      <c r="D23" s="168">
        <v>0</v>
      </c>
      <c r="E23" s="168">
        <v>900</v>
      </c>
    </row>
    <row r="24" spans="1:5" x14ac:dyDescent="0.2">
      <c r="A24" s="172" t="s">
        <v>441</v>
      </c>
      <c r="B24" s="172" t="s">
        <v>442</v>
      </c>
      <c r="C24" s="170">
        <v>8000</v>
      </c>
      <c r="D24" s="168">
        <v>0</v>
      </c>
      <c r="E24" s="168">
        <v>0</v>
      </c>
    </row>
    <row r="26" spans="1:5" x14ac:dyDescent="0.2">
      <c r="A26" s="166" t="s">
        <v>443</v>
      </c>
      <c r="B26" s="166" t="s">
        <v>444</v>
      </c>
      <c r="C26" s="167">
        <f>C27</f>
        <v>30000</v>
      </c>
      <c r="D26" s="167">
        <f>D27</f>
        <v>0</v>
      </c>
      <c r="E26" s="167">
        <f>E27</f>
        <v>2748.37</v>
      </c>
    </row>
    <row r="27" spans="1:5" x14ac:dyDescent="0.2">
      <c r="A27" s="172" t="s">
        <v>445</v>
      </c>
      <c r="B27" s="172" t="s">
        <v>446</v>
      </c>
      <c r="C27" s="170">
        <v>30000</v>
      </c>
      <c r="D27" s="170">
        <v>0</v>
      </c>
      <c r="E27" s="170">
        <v>2748.37</v>
      </c>
    </row>
    <row r="28" spans="1:5" x14ac:dyDescent="0.2">
      <c r="A28" s="166" t="s">
        <v>447</v>
      </c>
      <c r="B28" s="166" t="s">
        <v>448</v>
      </c>
      <c r="C28" s="167">
        <f>C29</f>
        <v>66000</v>
      </c>
      <c r="D28" s="167">
        <f>D29</f>
        <v>12395</v>
      </c>
      <c r="E28" s="167">
        <f>E29</f>
        <v>65378.04</v>
      </c>
    </row>
    <row r="29" spans="1:5" x14ac:dyDescent="0.2">
      <c r="A29" s="172" t="s">
        <v>449</v>
      </c>
      <c r="B29" s="172" t="s">
        <v>448</v>
      </c>
      <c r="C29" s="170">
        <v>66000</v>
      </c>
      <c r="D29" s="174">
        <f>12395</f>
        <v>12395</v>
      </c>
      <c r="E29" s="170">
        <f>65378.04</f>
        <v>65378.04</v>
      </c>
    </row>
    <row r="31" spans="1:5" x14ac:dyDescent="0.2">
      <c r="A31" s="166" t="s">
        <v>450</v>
      </c>
      <c r="B31" s="166" t="s">
        <v>451</v>
      </c>
      <c r="C31" s="167">
        <f>SUM(C32:C34)</f>
        <v>12000</v>
      </c>
      <c r="D31" s="167">
        <f>SUM(D32:D34)</f>
        <v>0</v>
      </c>
      <c r="E31" s="167">
        <f>SUM(E32:E34)</f>
        <v>8200</v>
      </c>
    </row>
    <row r="32" spans="1:5" x14ac:dyDescent="0.2">
      <c r="A32" s="172" t="s">
        <v>452</v>
      </c>
      <c r="B32" s="172" t="s">
        <v>453</v>
      </c>
      <c r="C32" s="168">
        <v>2000</v>
      </c>
      <c r="D32" s="168">
        <v>0</v>
      </c>
      <c r="E32" s="168">
        <v>1100</v>
      </c>
    </row>
    <row r="33" spans="1:5" x14ac:dyDescent="0.2">
      <c r="A33" s="172" t="s">
        <v>454</v>
      </c>
      <c r="B33" s="94" t="s">
        <v>455</v>
      </c>
      <c r="C33" s="58">
        <v>8800</v>
      </c>
      <c r="D33" s="168">
        <v>0</v>
      </c>
      <c r="E33" s="58">
        <v>7100</v>
      </c>
    </row>
    <row r="34" spans="1:5" x14ac:dyDescent="0.2">
      <c r="A34" s="172" t="s">
        <v>456</v>
      </c>
      <c r="B34" s="172" t="s">
        <v>457</v>
      </c>
      <c r="C34" s="168">
        <v>1200</v>
      </c>
      <c r="D34" s="168">
        <v>0</v>
      </c>
      <c r="E34" s="168">
        <v>0</v>
      </c>
    </row>
    <row r="36" spans="1:5" x14ac:dyDescent="0.2">
      <c r="A36" s="166" t="s">
        <v>458</v>
      </c>
      <c r="B36" s="166" t="s">
        <v>459</v>
      </c>
      <c r="C36" s="167">
        <f>C37</f>
        <v>25000</v>
      </c>
      <c r="D36" s="167">
        <f>D37</f>
        <v>0</v>
      </c>
      <c r="E36" s="167">
        <f>E37</f>
        <v>2082.33</v>
      </c>
    </row>
    <row r="37" spans="1:5" x14ac:dyDescent="0.2">
      <c r="A37" s="172" t="s">
        <v>460</v>
      </c>
      <c r="B37" s="172" t="s">
        <v>461</v>
      </c>
      <c r="C37" s="170">
        <v>25000</v>
      </c>
      <c r="D37" s="170">
        <v>0</v>
      </c>
      <c r="E37" s="170">
        <v>2082.33</v>
      </c>
    </row>
    <row r="39" spans="1:5" x14ac:dyDescent="0.2">
      <c r="A39" s="166" t="s">
        <v>462</v>
      </c>
      <c r="B39" s="166" t="s">
        <v>463</v>
      </c>
      <c r="C39" s="167">
        <f>C40+C41</f>
        <v>61000</v>
      </c>
      <c r="D39" s="167">
        <f>D40+D41</f>
        <v>0</v>
      </c>
      <c r="E39" s="167">
        <f>E40+E41</f>
        <v>32434.28</v>
      </c>
    </row>
    <row r="40" spans="1:5" x14ac:dyDescent="0.2">
      <c r="A40" s="172" t="s">
        <v>464</v>
      </c>
      <c r="B40" s="172" t="s">
        <v>465</v>
      </c>
      <c r="C40" s="170">
        <v>41000</v>
      </c>
      <c r="D40" s="170">
        <v>0</v>
      </c>
      <c r="E40" s="170">
        <v>27721.86</v>
      </c>
    </row>
    <row r="41" spans="1:5" x14ac:dyDescent="0.2">
      <c r="A41" s="172" t="s">
        <v>466</v>
      </c>
      <c r="B41" s="172" t="s">
        <v>461</v>
      </c>
      <c r="C41" s="168">
        <v>20000</v>
      </c>
      <c r="D41" s="170">
        <v>0</v>
      </c>
      <c r="E41" s="170">
        <v>4712.42</v>
      </c>
    </row>
    <row r="43" spans="1:5" x14ac:dyDescent="0.2">
      <c r="A43" s="166" t="s">
        <v>467</v>
      </c>
      <c r="B43" s="166" t="s">
        <v>468</v>
      </c>
      <c r="C43" s="167">
        <f>C44</f>
        <v>5000</v>
      </c>
      <c r="D43" s="167">
        <f>D44</f>
        <v>0</v>
      </c>
      <c r="E43" s="167">
        <f>E44</f>
        <v>1400</v>
      </c>
    </row>
    <row r="44" spans="1:5" x14ac:dyDescent="0.2">
      <c r="A44" s="172" t="s">
        <v>469</v>
      </c>
      <c r="B44" s="172" t="s">
        <v>470</v>
      </c>
      <c r="C44" s="170">
        <v>5000</v>
      </c>
      <c r="D44" s="168">
        <v>0</v>
      </c>
      <c r="E44" s="168">
        <v>1400</v>
      </c>
    </row>
    <row r="46" spans="1:5" x14ac:dyDescent="0.2">
      <c r="A46" s="166" t="s">
        <v>471</v>
      </c>
      <c r="B46" s="166" t="s">
        <v>472</v>
      </c>
      <c r="C46" s="167">
        <f>SUM(C47:C68)</f>
        <v>845400</v>
      </c>
      <c r="D46" s="167">
        <f>SUM(D47:D68)</f>
        <v>42971.049999999996</v>
      </c>
      <c r="E46" s="167">
        <f>SUM(E47:E68)</f>
        <v>217433.25</v>
      </c>
    </row>
    <row r="47" spans="1:5" x14ac:dyDescent="0.2">
      <c r="A47" s="172" t="s">
        <v>473</v>
      </c>
      <c r="B47" s="172" t="s">
        <v>474</v>
      </c>
      <c r="C47" s="170">
        <v>42000</v>
      </c>
      <c r="D47" s="170">
        <v>0</v>
      </c>
      <c r="E47" s="168">
        <v>27466.66</v>
      </c>
    </row>
    <row r="48" spans="1:5" x14ac:dyDescent="0.2">
      <c r="A48" s="172" t="s">
        <v>475</v>
      </c>
      <c r="B48" s="172" t="s">
        <v>476</v>
      </c>
      <c r="C48" s="170">
        <v>50000</v>
      </c>
      <c r="D48" s="170">
        <v>0</v>
      </c>
      <c r="E48" s="170">
        <v>0</v>
      </c>
    </row>
    <row r="49" spans="1:5" x14ac:dyDescent="0.2">
      <c r="A49" s="172" t="s">
        <v>477</v>
      </c>
      <c r="B49" s="172" t="s">
        <v>478</v>
      </c>
      <c r="C49" s="170">
        <v>16000</v>
      </c>
      <c r="D49" s="170">
        <v>0</v>
      </c>
      <c r="E49" s="170">
        <v>324</v>
      </c>
    </row>
    <row r="50" spans="1:5" x14ac:dyDescent="0.2">
      <c r="A50" s="172" t="s">
        <v>479</v>
      </c>
      <c r="B50" s="172" t="s">
        <v>480</v>
      </c>
      <c r="C50" s="168">
        <v>46500</v>
      </c>
      <c r="D50" s="175">
        <v>0</v>
      </c>
      <c r="E50" s="170">
        <v>29150</v>
      </c>
    </row>
    <row r="51" spans="1:5" x14ac:dyDescent="0.2">
      <c r="A51" s="172" t="s">
        <v>481</v>
      </c>
      <c r="B51" s="172" t="s">
        <v>482</v>
      </c>
      <c r="C51" s="168">
        <v>9900</v>
      </c>
      <c r="D51" s="170">
        <v>245</v>
      </c>
      <c r="E51" s="170">
        <f>3395</f>
        <v>3395</v>
      </c>
    </row>
    <row r="52" spans="1:5" x14ac:dyDescent="0.2">
      <c r="A52" s="172" t="s">
        <v>483</v>
      </c>
      <c r="B52" s="172" t="s">
        <v>484</v>
      </c>
      <c r="C52" s="168">
        <v>40000</v>
      </c>
      <c r="D52" s="168">
        <v>0</v>
      </c>
      <c r="E52" s="168">
        <v>19312.55</v>
      </c>
    </row>
    <row r="53" spans="1:5" x14ac:dyDescent="0.2">
      <c r="A53" s="172" t="s">
        <v>485</v>
      </c>
      <c r="B53" s="172" t="s">
        <v>486</v>
      </c>
      <c r="C53" s="168">
        <v>5000</v>
      </c>
      <c r="D53" s="168">
        <v>0</v>
      </c>
      <c r="E53" s="168">
        <v>0</v>
      </c>
    </row>
    <row r="54" spans="1:5" x14ac:dyDescent="0.2">
      <c r="A54" s="172" t="s">
        <v>487</v>
      </c>
      <c r="B54" s="172" t="s">
        <v>488</v>
      </c>
      <c r="C54" s="170">
        <v>250000</v>
      </c>
      <c r="D54" s="174">
        <f>37438.77</f>
        <v>37438.769999999997</v>
      </c>
      <c r="E54" s="170">
        <f>58803.01</f>
        <v>58803.01</v>
      </c>
    </row>
    <row r="55" spans="1:5" x14ac:dyDescent="0.2">
      <c r="A55" s="172" t="s">
        <v>489</v>
      </c>
      <c r="B55" s="172" t="s">
        <v>490</v>
      </c>
      <c r="C55" s="168">
        <v>10000</v>
      </c>
      <c r="D55" s="170">
        <f>2130</f>
        <v>2130</v>
      </c>
      <c r="E55" s="170">
        <f>5839</f>
        <v>5839</v>
      </c>
    </row>
    <row r="56" spans="1:5" x14ac:dyDescent="0.2">
      <c r="A56" s="172" t="s">
        <v>491</v>
      </c>
      <c r="B56" s="172" t="s">
        <v>492</v>
      </c>
      <c r="C56" s="170">
        <v>12000</v>
      </c>
      <c r="D56" s="170">
        <v>0</v>
      </c>
      <c r="E56" s="170">
        <v>11327.6</v>
      </c>
    </row>
    <row r="57" spans="1:5" x14ac:dyDescent="0.2">
      <c r="A57" s="172" t="s">
        <v>493</v>
      </c>
      <c r="B57" s="172" t="s">
        <v>494</v>
      </c>
      <c r="C57" s="168">
        <v>9000</v>
      </c>
      <c r="D57" s="168">
        <v>0</v>
      </c>
      <c r="E57" s="168">
        <v>8878.4699999999993</v>
      </c>
    </row>
    <row r="58" spans="1:5" x14ac:dyDescent="0.2">
      <c r="A58" s="172" t="s">
        <v>495</v>
      </c>
      <c r="B58" s="172" t="s">
        <v>496</v>
      </c>
      <c r="C58" s="168">
        <v>0</v>
      </c>
      <c r="D58" s="168">
        <v>0</v>
      </c>
      <c r="E58" s="168">
        <v>0</v>
      </c>
    </row>
    <row r="59" spans="1:5" x14ac:dyDescent="0.2">
      <c r="A59" s="172" t="s">
        <v>497</v>
      </c>
      <c r="B59" s="172" t="s">
        <v>498</v>
      </c>
      <c r="C59" s="168">
        <v>0</v>
      </c>
      <c r="D59" s="168">
        <v>0</v>
      </c>
      <c r="E59" s="168">
        <v>0</v>
      </c>
    </row>
    <row r="60" spans="1:5" x14ac:dyDescent="0.2">
      <c r="A60" s="172" t="s">
        <v>499</v>
      </c>
      <c r="B60" s="172" t="s">
        <v>500</v>
      </c>
      <c r="C60" s="168">
        <v>25000</v>
      </c>
      <c r="D60" s="168">
        <v>0</v>
      </c>
      <c r="E60" s="170">
        <v>836.72</v>
      </c>
    </row>
    <row r="61" spans="1:5" x14ac:dyDescent="0.2">
      <c r="A61" s="172" t="s">
        <v>501</v>
      </c>
      <c r="B61" s="172" t="s">
        <v>502</v>
      </c>
      <c r="C61" s="168">
        <v>60000</v>
      </c>
      <c r="D61" s="170">
        <f>2315.72</f>
        <v>2315.7199999999998</v>
      </c>
      <c r="E61" s="170">
        <f>21894.66</f>
        <v>21894.66</v>
      </c>
    </row>
    <row r="62" spans="1:5" x14ac:dyDescent="0.2">
      <c r="A62" s="172" t="s">
        <v>503</v>
      </c>
      <c r="B62" s="172" t="s">
        <v>504</v>
      </c>
      <c r="C62" s="168">
        <v>3000</v>
      </c>
      <c r="D62" s="168">
        <v>0</v>
      </c>
      <c r="E62" s="168">
        <v>0</v>
      </c>
    </row>
    <row r="63" spans="1:5" x14ac:dyDescent="0.2">
      <c r="A63" s="172" t="s">
        <v>505</v>
      </c>
      <c r="B63" s="172" t="s">
        <v>506</v>
      </c>
      <c r="C63" s="168">
        <v>5000</v>
      </c>
      <c r="D63" s="168">
        <f>841.56</f>
        <v>841.56</v>
      </c>
      <c r="E63" s="170">
        <f>4628.58</f>
        <v>4628.58</v>
      </c>
    </row>
    <row r="64" spans="1:5" x14ac:dyDescent="0.2">
      <c r="A64" s="172" t="s">
        <v>507</v>
      </c>
      <c r="B64" s="172" t="s">
        <v>508</v>
      </c>
      <c r="C64" s="168">
        <v>17000</v>
      </c>
      <c r="D64" s="170">
        <v>0</v>
      </c>
      <c r="E64" s="170">
        <v>2468.5</v>
      </c>
    </row>
    <row r="65" spans="1:5" x14ac:dyDescent="0.2">
      <c r="A65" s="172" t="s">
        <v>509</v>
      </c>
      <c r="B65" s="172" t="s">
        <v>510</v>
      </c>
      <c r="C65" s="168">
        <v>15000</v>
      </c>
      <c r="D65" s="168">
        <v>0</v>
      </c>
      <c r="E65" s="170">
        <v>622</v>
      </c>
    </row>
    <row r="66" spans="1:5" x14ac:dyDescent="0.2">
      <c r="A66" s="172" t="s">
        <v>511</v>
      </c>
      <c r="B66" s="172" t="s">
        <v>512</v>
      </c>
      <c r="C66" s="168">
        <v>0</v>
      </c>
      <c r="D66" s="168">
        <v>0</v>
      </c>
      <c r="E66" s="168">
        <v>0</v>
      </c>
    </row>
    <row r="67" spans="1:5" x14ac:dyDescent="0.2">
      <c r="A67" s="172" t="s">
        <v>513</v>
      </c>
      <c r="B67" s="172" t="s">
        <v>514</v>
      </c>
      <c r="C67" s="168">
        <v>230000</v>
      </c>
      <c r="D67" s="170">
        <v>0</v>
      </c>
      <c r="E67" s="170">
        <v>22486.5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19"/>
  <sheetViews>
    <sheetView topLeftCell="A10" zoomScale="160" zoomScaleNormal="160" workbookViewId="0">
      <selection activeCell="D18" sqref="D18"/>
    </sheetView>
  </sheetViews>
  <sheetFormatPr defaultRowHeight="12.75" x14ac:dyDescent="0.2"/>
  <cols>
    <col min="1" max="1" width="37.42578125" customWidth="1"/>
    <col min="2" max="2" width="15.42578125" customWidth="1"/>
    <col min="3" max="3" width="13.42578125" customWidth="1"/>
    <col min="4" max="4" width="10.85546875" customWidth="1"/>
    <col min="5" max="1025" width="8.7109375" customWidth="1"/>
  </cols>
  <sheetData>
    <row r="1" spans="1:4" x14ac:dyDescent="0.2">
      <c r="A1" s="225" t="s">
        <v>515</v>
      </c>
      <c r="B1" s="225"/>
      <c r="C1" s="225"/>
      <c r="D1" s="225"/>
    </row>
    <row r="2" spans="1:4" x14ac:dyDescent="0.2">
      <c r="A2" s="94"/>
      <c r="B2" s="58" t="s">
        <v>516</v>
      </c>
      <c r="C2" s="58" t="s">
        <v>517</v>
      </c>
      <c r="D2" s="58" t="s">
        <v>518</v>
      </c>
    </row>
    <row r="3" spans="1:4" x14ac:dyDescent="0.2">
      <c r="A3" s="176" t="s">
        <v>109</v>
      </c>
      <c r="B3" s="177">
        <v>22517.31</v>
      </c>
      <c r="C3" s="177">
        <f>22517.31</f>
        <v>22517.31</v>
      </c>
      <c r="D3" s="178">
        <f t="shared" ref="D3:D19" si="0">B3-C3</f>
        <v>0</v>
      </c>
    </row>
    <row r="4" spans="1:4" x14ac:dyDescent="0.2">
      <c r="A4" s="94" t="s">
        <v>519</v>
      </c>
      <c r="B4" s="58">
        <v>8806193.6400000006</v>
      </c>
      <c r="C4" s="58">
        <f>8806193.64</f>
        <v>8806193.6400000006</v>
      </c>
      <c r="D4" s="179">
        <f t="shared" si="0"/>
        <v>0</v>
      </c>
    </row>
    <row r="5" spans="1:4" x14ac:dyDescent="0.2">
      <c r="A5" s="176" t="s">
        <v>111</v>
      </c>
      <c r="B5" s="177">
        <v>98497.97</v>
      </c>
      <c r="C5" s="177">
        <f>98497.97</f>
        <v>98497.97</v>
      </c>
      <c r="D5" s="178">
        <f t="shared" si="0"/>
        <v>0</v>
      </c>
    </row>
    <row r="6" spans="1:4" x14ac:dyDescent="0.2">
      <c r="A6" s="94" t="s">
        <v>117</v>
      </c>
      <c r="B6" s="58">
        <v>9.98</v>
      </c>
      <c r="C6" s="58">
        <v>9.98</v>
      </c>
      <c r="D6" s="179">
        <f t="shared" si="0"/>
        <v>0</v>
      </c>
    </row>
    <row r="7" spans="1:4" x14ac:dyDescent="0.2">
      <c r="A7" s="176" t="s">
        <v>520</v>
      </c>
      <c r="B7" s="177">
        <v>9.98</v>
      </c>
      <c r="C7" s="177">
        <v>9.98</v>
      </c>
      <c r="D7" s="178">
        <f t="shared" si="0"/>
        <v>0</v>
      </c>
    </row>
    <row r="8" spans="1:4" x14ac:dyDescent="0.2">
      <c r="A8" s="94" t="s">
        <v>521</v>
      </c>
      <c r="B8" s="58">
        <v>2905.86</v>
      </c>
      <c r="C8" s="58">
        <f>2905.86</f>
        <v>2905.86</v>
      </c>
      <c r="D8" s="179">
        <f t="shared" si="0"/>
        <v>0</v>
      </c>
    </row>
    <row r="9" spans="1:4" x14ac:dyDescent="0.2">
      <c r="A9" s="176" t="s">
        <v>522</v>
      </c>
      <c r="B9" s="177">
        <v>34864.82</v>
      </c>
      <c r="C9" s="177">
        <f>34864.82</f>
        <v>34864.82</v>
      </c>
      <c r="D9" s="178">
        <f t="shared" si="0"/>
        <v>0</v>
      </c>
    </row>
    <row r="10" spans="1:4" x14ac:dyDescent="0.2">
      <c r="A10" s="94" t="s">
        <v>523</v>
      </c>
      <c r="B10" s="58">
        <v>12961.27</v>
      </c>
      <c r="C10" s="58">
        <f>12961.27</f>
        <v>12961.27</v>
      </c>
      <c r="D10" s="179">
        <f t="shared" si="0"/>
        <v>0</v>
      </c>
    </row>
    <row r="11" spans="1:4" x14ac:dyDescent="0.2">
      <c r="A11" s="176" t="s">
        <v>524</v>
      </c>
      <c r="B11" s="177">
        <v>8330.69</v>
      </c>
      <c r="C11" s="177">
        <f>8330.69</f>
        <v>8330.69</v>
      </c>
      <c r="D11" s="178">
        <f t="shared" si="0"/>
        <v>0</v>
      </c>
    </row>
    <row r="12" spans="1:4" x14ac:dyDescent="0.2">
      <c r="A12" s="94" t="s">
        <v>525</v>
      </c>
      <c r="B12" s="58">
        <v>12301.59</v>
      </c>
      <c r="C12" s="58">
        <f>12301.59</f>
        <v>12301.59</v>
      </c>
      <c r="D12" s="179">
        <f t="shared" si="0"/>
        <v>0</v>
      </c>
    </row>
    <row r="13" spans="1:4" x14ac:dyDescent="0.2">
      <c r="A13" s="176" t="s">
        <v>526</v>
      </c>
      <c r="B13" s="177">
        <v>71.62</v>
      </c>
      <c r="C13" s="177">
        <f>71.62</f>
        <v>71.62</v>
      </c>
      <c r="D13" s="178">
        <f t="shared" si="0"/>
        <v>0</v>
      </c>
    </row>
    <row r="14" spans="1:4" x14ac:dyDescent="0.2">
      <c r="A14" s="94" t="s">
        <v>527</v>
      </c>
      <c r="B14" s="58">
        <v>112442.65</v>
      </c>
      <c r="C14" s="58">
        <f>112442.65</f>
        <v>112442.65</v>
      </c>
      <c r="D14" s="179">
        <f t="shared" si="0"/>
        <v>0</v>
      </c>
    </row>
    <row r="15" spans="1:4" x14ac:dyDescent="0.2">
      <c r="A15" s="176" t="s">
        <v>528</v>
      </c>
      <c r="B15" s="177">
        <v>250636.29</v>
      </c>
      <c r="C15" s="177">
        <f>250636.29</f>
        <v>250636.29</v>
      </c>
      <c r="D15" s="178">
        <f t="shared" si="0"/>
        <v>0</v>
      </c>
    </row>
    <row r="16" spans="1:4" x14ac:dyDescent="0.2">
      <c r="A16" s="180" t="s">
        <v>529</v>
      </c>
      <c r="B16" s="58">
        <v>24652.7</v>
      </c>
      <c r="C16" s="58">
        <f>24652.7</f>
        <v>24652.7</v>
      </c>
      <c r="D16" s="179">
        <f t="shared" si="0"/>
        <v>0</v>
      </c>
    </row>
    <row r="17" spans="1:4" x14ac:dyDescent="0.2">
      <c r="A17" s="181" t="s">
        <v>530</v>
      </c>
      <c r="B17" s="182">
        <v>53311.87</v>
      </c>
      <c r="C17" s="182">
        <f>53311.87</f>
        <v>53311.87</v>
      </c>
      <c r="D17" s="183">
        <f t="shared" si="0"/>
        <v>0</v>
      </c>
    </row>
    <row r="18" spans="1:4" x14ac:dyDescent="0.2">
      <c r="A18" s="180" t="s">
        <v>531</v>
      </c>
      <c r="B18" s="77">
        <v>1785.24</v>
      </c>
      <c r="C18" s="77">
        <f>1785.24</f>
        <v>1785.24</v>
      </c>
      <c r="D18" s="179">
        <f t="shared" si="0"/>
        <v>0</v>
      </c>
    </row>
    <row r="19" spans="1:4" x14ac:dyDescent="0.2">
      <c r="A19" s="184"/>
      <c r="B19" s="185">
        <f>SUM(B3:B18)</f>
        <v>9441493.4799999986</v>
      </c>
      <c r="C19" s="185">
        <f>SUM(C3:C18)</f>
        <v>9441493.4799999986</v>
      </c>
      <c r="D19" s="179">
        <f t="shared" si="0"/>
        <v>0</v>
      </c>
    </row>
  </sheetData>
  <mergeCells count="1">
    <mergeCell ref="A1:D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zoomScale="160" zoomScaleNormal="160" workbookViewId="0"/>
  </sheetViews>
  <sheetFormatPr defaultRowHeight="12.75" x14ac:dyDescent="0.2"/>
  <cols>
    <col min="1" max="1025" width="8.7109375" customWidth="1"/>
  </cols>
  <sheetData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MK20"/>
  <sheetViews>
    <sheetView tabSelected="1" zoomScale="160" zoomScaleNormal="160" workbookViewId="0">
      <selection activeCell="A2" sqref="A2:A3"/>
    </sheetView>
  </sheetViews>
  <sheetFormatPr defaultRowHeight="12.75" x14ac:dyDescent="0.2"/>
  <cols>
    <col min="1" max="1" width="25.42578125" style="47" customWidth="1"/>
    <col min="2" max="2" width="9.140625" style="47" customWidth="1"/>
    <col min="3" max="3" width="12.140625" style="47" bestFit="1" customWidth="1"/>
    <col min="4" max="4" width="8.5703125" style="47" customWidth="1"/>
    <col min="5" max="5" width="9" style="47" bestFit="1" customWidth="1"/>
    <col min="6" max="6" width="10.85546875" style="47" customWidth="1"/>
    <col min="7" max="7" width="7.85546875" style="47" bestFit="1" customWidth="1"/>
    <col min="8" max="8" width="39.7109375" style="47" customWidth="1"/>
    <col min="9" max="1025" width="9.140625" style="47" customWidth="1"/>
  </cols>
  <sheetData>
    <row r="1" spans="1:8" ht="12.75" customHeight="1" x14ac:dyDescent="0.2">
      <c r="A1" s="198" t="s">
        <v>535</v>
      </c>
      <c r="B1" s="198"/>
      <c r="C1" s="198"/>
      <c r="D1" s="198"/>
      <c r="E1" s="198"/>
      <c r="F1" s="198"/>
      <c r="G1" s="198"/>
      <c r="H1" s="198"/>
    </row>
    <row r="2" spans="1:8" ht="12.75" customHeight="1" x14ac:dyDescent="0.2">
      <c r="A2" s="196" t="s">
        <v>1</v>
      </c>
      <c r="B2" s="196" t="s">
        <v>2</v>
      </c>
      <c r="C2" s="196" t="s">
        <v>3</v>
      </c>
      <c r="D2" s="200" t="s">
        <v>4</v>
      </c>
      <c r="E2" s="200"/>
      <c r="F2" s="200"/>
      <c r="G2" s="196" t="s">
        <v>5</v>
      </c>
      <c r="H2" s="196" t="s">
        <v>6</v>
      </c>
    </row>
    <row r="3" spans="1:8" ht="12.75" customHeight="1" x14ac:dyDescent="0.2">
      <c r="A3" s="196"/>
      <c r="B3" s="196"/>
      <c r="C3" s="196"/>
      <c r="D3" s="3" t="s">
        <v>7</v>
      </c>
      <c r="E3" s="3" t="s">
        <v>8</v>
      </c>
      <c r="F3" s="3" t="s">
        <v>9</v>
      </c>
      <c r="G3" s="196"/>
      <c r="H3" s="196"/>
    </row>
    <row r="4" spans="1:8" ht="12.75" customHeight="1" x14ac:dyDescent="0.2">
      <c r="A4" s="4" t="s">
        <v>65</v>
      </c>
      <c r="B4" s="5" t="s">
        <v>66</v>
      </c>
      <c r="C4" s="9" t="s">
        <v>67</v>
      </c>
      <c r="D4" s="7">
        <v>1.5</v>
      </c>
      <c r="E4" s="8">
        <v>625.02</v>
      </c>
      <c r="F4" s="8">
        <v>259.27999999999997</v>
      </c>
      <c r="G4" s="9" t="s">
        <v>52</v>
      </c>
      <c r="H4" s="48" t="s">
        <v>533</v>
      </c>
    </row>
    <row r="5" spans="1:8" ht="12.75" customHeight="1" x14ac:dyDescent="0.2">
      <c r="A5" s="49" t="s">
        <v>65</v>
      </c>
      <c r="B5" s="50" t="s">
        <v>66</v>
      </c>
      <c r="C5" s="51" t="s">
        <v>68</v>
      </c>
      <c r="D5" s="52">
        <v>1.5</v>
      </c>
      <c r="E5" s="53">
        <v>625.02</v>
      </c>
      <c r="F5" s="53">
        <v>259.27999999999997</v>
      </c>
      <c r="G5" s="51" t="s">
        <v>52</v>
      </c>
      <c r="H5" s="54" t="s">
        <v>532</v>
      </c>
    </row>
    <row r="6" spans="1:8" ht="12.75" customHeight="1" x14ac:dyDescent="0.2">
      <c r="A6" s="186" t="s">
        <v>69</v>
      </c>
      <c r="B6" s="187" t="s">
        <v>66</v>
      </c>
      <c r="C6" s="188" t="s">
        <v>68</v>
      </c>
      <c r="D6" s="189">
        <v>1.5</v>
      </c>
      <c r="E6" s="190">
        <v>625.02</v>
      </c>
      <c r="F6" s="190">
        <v>518.55999999999995</v>
      </c>
      <c r="G6" s="188" t="s">
        <v>52</v>
      </c>
      <c r="H6" s="191" t="s">
        <v>532</v>
      </c>
    </row>
    <row r="7" spans="1:8" ht="12.75" customHeight="1" x14ac:dyDescent="0.2">
      <c r="A7" s="55" t="s">
        <v>69</v>
      </c>
      <c r="B7" s="50" t="s">
        <v>66</v>
      </c>
      <c r="C7" s="51" t="s">
        <v>70</v>
      </c>
      <c r="D7" s="52">
        <v>1.5</v>
      </c>
      <c r="E7" s="53">
        <v>625.02</v>
      </c>
      <c r="F7" s="53">
        <v>0</v>
      </c>
      <c r="G7" s="51" t="s">
        <v>52</v>
      </c>
      <c r="H7" s="54" t="s">
        <v>534</v>
      </c>
    </row>
    <row r="8" spans="1:8" ht="12.75" customHeight="1" x14ac:dyDescent="0.2">
      <c r="A8" s="192" t="s">
        <v>71</v>
      </c>
      <c r="B8" s="187" t="s">
        <v>66</v>
      </c>
      <c r="C8" s="193" t="s">
        <v>67</v>
      </c>
      <c r="D8" s="189">
        <v>1.5</v>
      </c>
      <c r="E8" s="190">
        <v>625.02</v>
      </c>
      <c r="F8" s="190">
        <v>0</v>
      </c>
      <c r="G8" s="194" t="s">
        <v>52</v>
      </c>
      <c r="H8" s="195" t="s">
        <v>533</v>
      </c>
    </row>
    <row r="9" spans="1:8" ht="12.75" customHeight="1" x14ac:dyDescent="0.2">
      <c r="A9" s="36" t="s">
        <v>71</v>
      </c>
      <c r="B9" s="25" t="s">
        <v>66</v>
      </c>
      <c r="C9" s="13" t="s">
        <v>68</v>
      </c>
      <c r="D9" s="14">
        <v>1.5</v>
      </c>
      <c r="E9" s="15">
        <v>625.02</v>
      </c>
      <c r="F9" s="15">
        <v>0</v>
      </c>
      <c r="G9" s="16" t="s">
        <v>52</v>
      </c>
      <c r="H9" s="56" t="s">
        <v>532</v>
      </c>
    </row>
    <row r="10" spans="1:8" x14ac:dyDescent="0.2">
      <c r="A10" s="196"/>
      <c r="B10" s="196"/>
      <c r="C10" s="196"/>
      <c r="D10" s="3"/>
      <c r="E10" s="41">
        <f>SUM(E4:E9)</f>
        <v>3750.12</v>
      </c>
      <c r="F10" s="41">
        <f>SUM(F4:F9)</f>
        <v>1037.1199999999999</v>
      </c>
      <c r="G10" s="197"/>
      <c r="H10" s="197"/>
    </row>
    <row r="11" spans="1:8" x14ac:dyDescent="0.2">
      <c r="A11"/>
      <c r="B11"/>
      <c r="C11"/>
      <c r="D11"/>
      <c r="E11"/>
      <c r="F11"/>
      <c r="G11"/>
      <c r="H11"/>
    </row>
    <row r="12" spans="1:8" x14ac:dyDescent="0.2">
      <c r="A12"/>
      <c r="B12"/>
      <c r="C12"/>
      <c r="D12"/>
      <c r="E12"/>
      <c r="F12"/>
      <c r="G12" s="57"/>
      <c r="H12"/>
    </row>
    <row r="13" spans="1:8" x14ac:dyDescent="0.2">
      <c r="A13" s="198" t="s">
        <v>55</v>
      </c>
      <c r="B13" s="198"/>
      <c r="C13" s="198"/>
      <c r="D13"/>
      <c r="E13"/>
      <c r="F13"/>
      <c r="G13"/>
      <c r="H13"/>
    </row>
    <row r="14" spans="1:8" x14ac:dyDescent="0.2">
      <c r="A14" s="2" t="s">
        <v>56</v>
      </c>
      <c r="B14" s="2" t="s">
        <v>57</v>
      </c>
      <c r="C14" s="2" t="s">
        <v>58</v>
      </c>
      <c r="D14"/>
      <c r="E14"/>
      <c r="F14"/>
      <c r="G14"/>
      <c r="H14"/>
    </row>
    <row r="15" spans="1:8" x14ac:dyDescent="0.2">
      <c r="A15" s="42" t="s">
        <v>59</v>
      </c>
      <c r="B15" s="43">
        <v>640.65</v>
      </c>
      <c r="C15" s="43">
        <v>416.68</v>
      </c>
      <c r="D15"/>
      <c r="E15"/>
      <c r="F15"/>
      <c r="G15"/>
      <c r="H15"/>
    </row>
    <row r="16" spans="1:8" x14ac:dyDescent="0.2">
      <c r="A16" s="44" t="s">
        <v>60</v>
      </c>
      <c r="B16" s="45">
        <v>480.55</v>
      </c>
      <c r="C16" s="45">
        <v>262.39999999999998</v>
      </c>
      <c r="D16"/>
      <c r="E16"/>
      <c r="F16"/>
      <c r="G16"/>
      <c r="H16"/>
    </row>
    <row r="17" spans="1:8" ht="56.25" x14ac:dyDescent="0.2">
      <c r="A17" s="46" t="s">
        <v>61</v>
      </c>
      <c r="B17" s="43">
        <v>480.55</v>
      </c>
      <c r="C17" s="43">
        <v>262.39999999999998</v>
      </c>
      <c r="D17"/>
      <c r="E17"/>
      <c r="F17"/>
      <c r="G17"/>
      <c r="H17"/>
    </row>
    <row r="18" spans="1:8" x14ac:dyDescent="0.2">
      <c r="A18" s="44" t="s">
        <v>62</v>
      </c>
      <c r="B18" s="45">
        <v>480.55</v>
      </c>
      <c r="C18" s="45">
        <v>262.39999999999998</v>
      </c>
      <c r="D18"/>
      <c r="E18"/>
      <c r="F18"/>
      <c r="G18"/>
      <c r="H18"/>
    </row>
    <row r="19" spans="1:8" x14ac:dyDescent="0.2">
      <c r="A19" s="199" t="s">
        <v>63</v>
      </c>
      <c r="B19" s="199"/>
      <c r="C19" s="199"/>
      <c r="D19"/>
      <c r="E19"/>
      <c r="F19"/>
      <c r="G19"/>
      <c r="H19"/>
    </row>
    <row r="20" spans="1:8" x14ac:dyDescent="0.2">
      <c r="A20" s="196" t="s">
        <v>64</v>
      </c>
      <c r="B20" s="196"/>
      <c r="C20" s="196"/>
      <c r="D20"/>
      <c r="E20"/>
      <c r="F20"/>
      <c r="G20"/>
      <c r="H20"/>
    </row>
  </sheetData>
  <mergeCells count="12">
    <mergeCell ref="A1:H1"/>
    <mergeCell ref="A2:A3"/>
    <mergeCell ref="B2:B3"/>
    <mergeCell ref="C2:C3"/>
    <mergeCell ref="D2:F2"/>
    <mergeCell ref="G2:G3"/>
    <mergeCell ref="H2:H3"/>
    <mergeCell ref="A20:C20"/>
    <mergeCell ref="A10:C10"/>
    <mergeCell ref="G10:H10"/>
    <mergeCell ref="A13:C13"/>
    <mergeCell ref="A19:C19"/>
  </mergeCells>
  <phoneticPr fontId="21" type="noConversion"/>
  <printOptions horizontalCentered="1"/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58"/>
  <sheetViews>
    <sheetView topLeftCell="A6" zoomScale="160" zoomScaleNormal="160" workbookViewId="0">
      <selection activeCell="A30" sqref="A30"/>
    </sheetView>
  </sheetViews>
  <sheetFormatPr defaultRowHeight="12.75" x14ac:dyDescent="0.2"/>
  <cols>
    <col min="1" max="1" width="7.28515625" style="58" customWidth="1"/>
    <col min="2" max="2" width="10.7109375" style="58" customWidth="1"/>
    <col min="3" max="7" width="15.7109375" style="58" customWidth="1"/>
    <col min="8" max="8" width="2.85546875" style="58" customWidth="1"/>
    <col min="9" max="9" width="1.85546875" style="58" customWidth="1"/>
    <col min="10" max="10" width="5.42578125" style="58" customWidth="1"/>
    <col min="11" max="11" width="12.28515625" style="58" customWidth="1"/>
    <col min="12" max="12" width="13" style="58" customWidth="1"/>
    <col min="13" max="13" width="9.7109375" style="58" customWidth="1"/>
    <col min="14" max="14" width="14.7109375" style="58" customWidth="1"/>
    <col min="15" max="15" width="15.28515625" style="58" customWidth="1"/>
    <col min="16" max="16" width="14.85546875" style="58" customWidth="1"/>
    <col min="17" max="17" width="8.7109375" style="58" customWidth="1"/>
    <col min="18" max="18" width="9" style="58" customWidth="1"/>
    <col min="19" max="19" width="14" style="58" customWidth="1"/>
    <col min="20" max="20" width="9.5703125" style="58" customWidth="1"/>
    <col min="21" max="21" width="11" style="58" customWidth="1"/>
    <col min="22" max="22" width="12.28515625" style="58" customWidth="1"/>
    <col min="23" max="23" width="10.85546875" style="58" customWidth="1"/>
    <col min="24" max="24" width="9.140625" style="58" customWidth="1"/>
    <col min="25" max="25" width="3.7109375" style="58" customWidth="1"/>
    <col min="26" max="26" width="5.42578125" style="58" customWidth="1"/>
    <col min="27" max="27" width="14.5703125" style="58" customWidth="1"/>
    <col min="28" max="28" width="13.85546875" style="58" customWidth="1"/>
    <col min="29" max="29" width="10.85546875" style="58" customWidth="1"/>
    <col min="30" max="30" width="15.28515625" style="58" customWidth="1"/>
    <col min="31" max="31" width="12.7109375" style="58" customWidth="1"/>
    <col min="32" max="32" width="14.85546875" style="58" customWidth="1"/>
    <col min="33" max="33" width="10.85546875" style="58" customWidth="1"/>
    <col min="34" max="34" width="14.140625" style="58" customWidth="1"/>
    <col min="35" max="35" width="28" style="58" customWidth="1"/>
    <col min="36" max="36" width="11.28515625" style="58" customWidth="1"/>
    <col min="37" max="37" width="9" style="58" customWidth="1"/>
    <col min="38" max="38" width="6.85546875" style="58" customWidth="1"/>
    <col min="39" max="39" width="8.7109375" style="58" customWidth="1"/>
    <col min="40" max="40" width="17.42578125" style="58" customWidth="1"/>
    <col min="41" max="41" width="34.28515625" style="58" customWidth="1"/>
    <col min="42" max="42" width="25.28515625" style="58" customWidth="1"/>
    <col min="43" max="43" width="13.42578125" style="58" customWidth="1"/>
    <col min="44" max="44" width="9" style="58" customWidth="1"/>
    <col min="45" max="45" width="7.7109375" style="58" customWidth="1"/>
    <col min="46" max="46" width="8.7109375" style="58" customWidth="1"/>
    <col min="47" max="47" width="12.28515625" style="58" customWidth="1"/>
    <col min="48" max="48" width="33.42578125" style="58" customWidth="1"/>
    <col min="49" max="52" width="17.5703125" style="58" customWidth="1"/>
    <col min="53" max="53" width="9.140625" style="58" customWidth="1"/>
    <col min="54" max="54" width="14.28515625" style="58" customWidth="1"/>
    <col min="55" max="56" width="10.140625" style="58" customWidth="1"/>
    <col min="57" max="57" width="13" style="58" customWidth="1"/>
    <col min="58" max="59" width="12.85546875" style="58" customWidth="1"/>
    <col min="60" max="60" width="9.42578125" style="58" customWidth="1"/>
    <col min="61" max="63" width="9.140625" style="58" customWidth="1"/>
    <col min="64" max="64" width="10.7109375" style="58" customWidth="1"/>
    <col min="65" max="1025" width="9.140625" style="58" customWidth="1"/>
  </cols>
  <sheetData>
    <row r="1" spans="1:16" x14ac:dyDescent="0.2">
      <c r="E1" s="59"/>
      <c r="F1" s="59"/>
      <c r="G1" s="59"/>
    </row>
    <row r="2" spans="1:16" x14ac:dyDescent="0.2">
      <c r="A2" s="204" t="s">
        <v>72</v>
      </c>
      <c r="B2" s="204"/>
      <c r="C2" s="204"/>
      <c r="D2" s="204"/>
      <c r="E2" s="204"/>
      <c r="F2" s="204"/>
      <c r="G2" s="204"/>
      <c r="J2" s="202" t="s">
        <v>73</v>
      </c>
      <c r="K2" s="202"/>
      <c r="L2" s="202"/>
      <c r="M2" s="202"/>
      <c r="P2" s="61"/>
    </row>
    <row r="3" spans="1:16" x14ac:dyDescent="0.2">
      <c r="A3" s="62"/>
      <c r="B3" s="205">
        <v>2018</v>
      </c>
      <c r="C3" s="205"/>
      <c r="D3" s="205">
        <v>2019</v>
      </c>
      <c r="E3" s="205"/>
      <c r="F3" s="202" t="s">
        <v>74</v>
      </c>
      <c r="G3" s="202"/>
      <c r="J3" s="202" t="s">
        <v>75</v>
      </c>
      <c r="K3" s="202"/>
      <c r="L3" s="202"/>
      <c r="M3" s="202"/>
    </row>
    <row r="4" spans="1:16" ht="12.75" customHeight="1" x14ac:dyDescent="0.2">
      <c r="A4" s="203" t="s">
        <v>76</v>
      </c>
      <c r="B4" s="203" t="s">
        <v>77</v>
      </c>
      <c r="C4" s="203" t="s">
        <v>78</v>
      </c>
      <c r="D4" s="203" t="s">
        <v>77</v>
      </c>
      <c r="E4" s="203" t="s">
        <v>78</v>
      </c>
      <c r="F4" s="201" t="s">
        <v>79</v>
      </c>
      <c r="G4" s="201" t="s">
        <v>80</v>
      </c>
      <c r="J4" s="63"/>
      <c r="K4" s="64" t="s">
        <v>81</v>
      </c>
      <c r="L4" s="64" t="s">
        <v>82</v>
      </c>
      <c r="M4" s="64" t="s">
        <v>83</v>
      </c>
    </row>
    <row r="5" spans="1:16" x14ac:dyDescent="0.2">
      <c r="A5" s="203"/>
      <c r="B5" s="203"/>
      <c r="C5" s="203"/>
      <c r="D5" s="203"/>
      <c r="E5" s="203"/>
      <c r="F5" s="201"/>
      <c r="G5" s="201"/>
      <c r="J5" s="63" t="s">
        <v>84</v>
      </c>
      <c r="K5" s="58">
        <f>9874517+38080.22</f>
        <v>9912597.2200000007</v>
      </c>
      <c r="L5" s="58">
        <f>L12-L11-L10-L9-L8-L7-L6</f>
        <v>9929082.6699999999</v>
      </c>
      <c r="M5" s="58">
        <f t="shared" ref="M5:M12" si="0">K5/L5</f>
        <v>0.99833968045710719</v>
      </c>
    </row>
    <row r="6" spans="1:16" x14ac:dyDescent="0.2">
      <c r="A6" s="62" t="s">
        <v>85</v>
      </c>
      <c r="B6" s="65">
        <v>3383</v>
      </c>
      <c r="C6" s="66">
        <v>308739.98</v>
      </c>
      <c r="D6" s="65">
        <v>3071</v>
      </c>
      <c r="E6" s="66">
        <v>280663.53999999998</v>
      </c>
      <c r="F6" s="67">
        <f t="shared" ref="F6:F18" si="1">((D6/B6)*100)-100</f>
        <v>-9.2225835057641206</v>
      </c>
      <c r="G6" s="67">
        <f t="shared" ref="G6:G18" si="2">((E6/C6)*100)-100</f>
        <v>-9.093878933334139</v>
      </c>
      <c r="J6" s="63" t="s">
        <v>86</v>
      </c>
      <c r="K6" s="58">
        <f>2039048.47</f>
        <v>2039048.47</v>
      </c>
      <c r="L6" s="58">
        <f>83318.23+893385.25</f>
        <v>976703.48</v>
      </c>
      <c r="M6" s="58">
        <f t="shared" si="0"/>
        <v>2.0876842478333342</v>
      </c>
    </row>
    <row r="7" spans="1:16" x14ac:dyDescent="0.2">
      <c r="A7" s="68" t="s">
        <v>87</v>
      </c>
      <c r="B7" s="69">
        <v>2934</v>
      </c>
      <c r="C7" s="70">
        <v>268083.76</v>
      </c>
      <c r="D7" s="69">
        <v>3667</v>
      </c>
      <c r="E7" s="63">
        <v>336361.73</v>
      </c>
      <c r="F7" s="71">
        <f t="shared" si="1"/>
        <v>24.98295841854123</v>
      </c>
      <c r="G7" s="71">
        <f t="shared" si="2"/>
        <v>25.468894497749488</v>
      </c>
      <c r="J7" s="63" t="s">
        <v>88</v>
      </c>
      <c r="K7" s="58">
        <f>292138.18</f>
        <v>292138.18</v>
      </c>
      <c r="L7" s="58">
        <f>49036.32+501478.28</f>
        <v>550514.6</v>
      </c>
      <c r="M7" s="58">
        <f t="shared" si="0"/>
        <v>0.53066381890689185</v>
      </c>
    </row>
    <row r="8" spans="1:16" x14ac:dyDescent="0.2">
      <c r="A8" s="62" t="s">
        <v>89</v>
      </c>
      <c r="B8" s="65">
        <v>3594</v>
      </c>
      <c r="C8" s="66">
        <v>334866.01</v>
      </c>
      <c r="D8" s="65">
        <v>3118</v>
      </c>
      <c r="E8" s="66">
        <v>281104.27</v>
      </c>
      <c r="F8" s="67">
        <f t="shared" si="1"/>
        <v>-13.244296048970511</v>
      </c>
      <c r="G8" s="67">
        <f t="shared" si="2"/>
        <v>-16.054701998569513</v>
      </c>
      <c r="J8" s="63" t="s">
        <v>90</v>
      </c>
      <c r="K8" s="58">
        <f>476515.91+390.05</f>
        <v>476905.95999999996</v>
      </c>
      <c r="L8" s="58">
        <f>48965.43+352402.37</f>
        <v>401367.8</v>
      </c>
      <c r="M8" s="58">
        <f t="shared" si="0"/>
        <v>1.1882018437951425</v>
      </c>
    </row>
    <row r="9" spans="1:16" x14ac:dyDescent="0.2">
      <c r="A9" s="68" t="s">
        <v>91</v>
      </c>
      <c r="B9" s="69">
        <v>3357</v>
      </c>
      <c r="C9" s="70">
        <v>300114.59000000003</v>
      </c>
      <c r="D9" s="69">
        <v>3498</v>
      </c>
      <c r="E9" s="70">
        <v>312785.94</v>
      </c>
      <c r="F9" s="71">
        <f t="shared" si="1"/>
        <v>4.2001787310098422</v>
      </c>
      <c r="G9" s="71">
        <f t="shared" si="2"/>
        <v>4.2221706049012653</v>
      </c>
      <c r="J9" s="63" t="s">
        <v>92</v>
      </c>
      <c r="K9" s="58">
        <f>394982.52</f>
        <v>394982.52</v>
      </c>
      <c r="L9" s="58">
        <f>246688.31</f>
        <v>246688.31</v>
      </c>
      <c r="M9" s="58">
        <f t="shared" si="0"/>
        <v>1.6011399972702396</v>
      </c>
    </row>
    <row r="10" spans="1:16" x14ac:dyDescent="0.2">
      <c r="A10" s="62" t="s">
        <v>93</v>
      </c>
      <c r="B10" s="65">
        <v>3284</v>
      </c>
      <c r="C10" s="66">
        <v>271477.59000000003</v>
      </c>
      <c r="D10" s="65">
        <v>3981</v>
      </c>
      <c r="E10" s="66">
        <v>348099.79</v>
      </c>
      <c r="F10" s="67">
        <f t="shared" si="1"/>
        <v>21.224116930572464</v>
      </c>
      <c r="G10" s="67">
        <f t="shared" si="2"/>
        <v>28.22413444881397</v>
      </c>
      <c r="J10" s="63" t="s">
        <v>94</v>
      </c>
      <c r="K10" s="58">
        <f>348883.29</f>
        <v>348883.29</v>
      </c>
      <c r="L10" s="58">
        <f>319676.12</f>
        <v>319676.12</v>
      </c>
      <c r="M10" s="58">
        <f t="shared" si="0"/>
        <v>1.091364878928085</v>
      </c>
    </row>
    <row r="11" spans="1:16" x14ac:dyDescent="0.2">
      <c r="A11" s="68" t="s">
        <v>95</v>
      </c>
      <c r="B11" s="69">
        <v>4184</v>
      </c>
      <c r="C11" s="70">
        <v>374951.44</v>
      </c>
      <c r="D11" s="69">
        <v>3433</v>
      </c>
      <c r="E11" s="70">
        <v>311402.71999999997</v>
      </c>
      <c r="F11" s="71">
        <f t="shared" si="1"/>
        <v>-17.949330783938805</v>
      </c>
      <c r="G11" s="71">
        <f t="shared" si="2"/>
        <v>-16.94852005369016</v>
      </c>
      <c r="J11" s="63" t="s">
        <v>96</v>
      </c>
      <c r="K11" s="58">
        <f>283757.85</f>
        <v>283757.84999999998</v>
      </c>
      <c r="L11" s="58">
        <f>29960.48+258842.6</f>
        <v>288803.08</v>
      </c>
      <c r="M11" s="58">
        <f t="shared" si="0"/>
        <v>0.982530553344514</v>
      </c>
    </row>
    <row r="12" spans="1:16" x14ac:dyDescent="0.2">
      <c r="A12" s="62" t="s">
        <v>97</v>
      </c>
      <c r="B12" s="65">
        <v>4403</v>
      </c>
      <c r="C12" s="66">
        <v>365314.03</v>
      </c>
      <c r="D12" s="65">
        <v>4246</v>
      </c>
      <c r="E12" s="66">
        <v>383587.72</v>
      </c>
      <c r="F12" s="67">
        <f t="shared" si="1"/>
        <v>-3.5657506245741502</v>
      </c>
      <c r="G12" s="67">
        <f t="shared" si="2"/>
        <v>5.002186748754184</v>
      </c>
      <c r="J12" s="63" t="s">
        <v>98</v>
      </c>
      <c r="K12" s="58">
        <f>SUM(K5:K11)</f>
        <v>13748313.49</v>
      </c>
      <c r="L12" s="58">
        <f>12712836.06</f>
        <v>12712836.060000001</v>
      </c>
      <c r="M12" s="58">
        <f t="shared" si="0"/>
        <v>1.0814513319540124</v>
      </c>
      <c r="O12" s="58">
        <f>K12-L12</f>
        <v>1035477.4299999997</v>
      </c>
    </row>
    <row r="13" spans="1:16" x14ac:dyDescent="0.2">
      <c r="A13" s="68" t="s">
        <v>99</v>
      </c>
      <c r="B13" s="72">
        <v>4628</v>
      </c>
      <c r="C13" s="73">
        <v>395195.77</v>
      </c>
      <c r="D13" s="72">
        <v>4023</v>
      </c>
      <c r="E13" s="73">
        <v>363210.93</v>
      </c>
      <c r="F13" s="71">
        <f t="shared" si="1"/>
        <v>-13.072601555747625</v>
      </c>
      <c r="G13" s="71">
        <f t="shared" si="2"/>
        <v>-8.093416586923496</v>
      </c>
      <c r="J13" s="63"/>
      <c r="K13" s="63"/>
      <c r="L13" s="63"/>
      <c r="M13" s="63"/>
    </row>
    <row r="14" spans="1:16" x14ac:dyDescent="0.2">
      <c r="A14" s="62" t="s">
        <v>100</v>
      </c>
      <c r="B14" s="65">
        <v>3933</v>
      </c>
      <c r="C14" s="66">
        <v>330336</v>
      </c>
      <c r="D14" s="65">
        <v>4004</v>
      </c>
      <c r="E14" s="66">
        <v>360703.14</v>
      </c>
      <c r="F14" s="67">
        <f t="shared" si="1"/>
        <v>1.8052377320111788</v>
      </c>
      <c r="G14" s="67">
        <f t="shared" si="2"/>
        <v>9.1928036907875708</v>
      </c>
      <c r="J14" s="202" t="s">
        <v>101</v>
      </c>
      <c r="K14" s="202"/>
      <c r="L14" s="202"/>
      <c r="M14" s="202"/>
    </row>
    <row r="15" spans="1:16" x14ac:dyDescent="0.2">
      <c r="A15" s="68" t="s">
        <v>102</v>
      </c>
      <c r="B15" s="69">
        <v>4063</v>
      </c>
      <c r="C15" s="70">
        <v>341363.94</v>
      </c>
      <c r="D15" s="69">
        <v>4131</v>
      </c>
      <c r="E15" s="70">
        <v>374599.11</v>
      </c>
      <c r="F15" s="71">
        <f t="shared" si="1"/>
        <v>1.6736401673640273</v>
      </c>
      <c r="G15" s="71">
        <f t="shared" si="2"/>
        <v>9.7359932042031119</v>
      </c>
      <c r="J15" s="62"/>
      <c r="K15" s="74">
        <v>2018</v>
      </c>
      <c r="L15" s="74">
        <v>2019</v>
      </c>
      <c r="M15" s="74" t="s">
        <v>103</v>
      </c>
    </row>
    <row r="16" spans="1:16" x14ac:dyDescent="0.2">
      <c r="A16" s="62" t="s">
        <v>104</v>
      </c>
      <c r="B16" s="75">
        <v>3752</v>
      </c>
      <c r="C16" s="66">
        <v>316181.03000000003</v>
      </c>
      <c r="D16" s="75">
        <f>4040</f>
        <v>4040</v>
      </c>
      <c r="E16" s="66">
        <f>365822.02</f>
        <v>365822.02</v>
      </c>
      <c r="F16" s="67">
        <f t="shared" si="1"/>
        <v>7.6759061833688662</v>
      </c>
      <c r="G16" s="67">
        <f t="shared" si="2"/>
        <v>15.700179735640688</v>
      </c>
      <c r="J16" s="58" t="s">
        <v>85</v>
      </c>
      <c r="K16" s="58">
        <v>1060053.8500000001</v>
      </c>
      <c r="L16" s="58">
        <v>1366800.93</v>
      </c>
      <c r="M16" s="58">
        <f t="shared" ref="M16:M26" si="3">(L16/K16)*100-100</f>
        <v>28.936933722753793</v>
      </c>
    </row>
    <row r="17" spans="1:16" x14ac:dyDescent="0.2">
      <c r="A17" s="68" t="s">
        <v>105</v>
      </c>
      <c r="B17" s="76">
        <v>3615</v>
      </c>
      <c r="C17" s="70">
        <v>298943.06</v>
      </c>
      <c r="D17" s="76">
        <v>2160</v>
      </c>
      <c r="E17" s="70">
        <f>187931.58</f>
        <v>187931.58</v>
      </c>
      <c r="F17" s="71">
        <f t="shared" si="1"/>
        <v>-40.248962655601659</v>
      </c>
      <c r="G17" s="71">
        <f t="shared" si="2"/>
        <v>-37.134657014616771</v>
      </c>
      <c r="J17" s="58" t="s">
        <v>87</v>
      </c>
      <c r="K17" s="58">
        <v>1535871.37</v>
      </c>
      <c r="L17" s="58">
        <v>1675671.91</v>
      </c>
      <c r="M17" s="58">
        <f t="shared" si="3"/>
        <v>9.102359919633102</v>
      </c>
    </row>
    <row r="18" spans="1:16" x14ac:dyDescent="0.2">
      <c r="A18" s="62" t="s">
        <v>106</v>
      </c>
      <c r="B18" s="65">
        <f>SUM(B6:B17)</f>
        <v>45130</v>
      </c>
      <c r="C18" s="66">
        <f>SUM(C6:C17)</f>
        <v>3905567.2000000007</v>
      </c>
      <c r="D18" s="65">
        <f>SUM(D6:D17)</f>
        <v>43372</v>
      </c>
      <c r="E18" s="66">
        <f>SUM(E6:E17)</f>
        <v>3906272.49</v>
      </c>
      <c r="F18" s="67">
        <f t="shared" si="1"/>
        <v>-3.8954132506093515</v>
      </c>
      <c r="G18" s="67">
        <f t="shared" si="2"/>
        <v>1.8058580582078321E-2</v>
      </c>
      <c r="J18" s="58" t="s">
        <v>89</v>
      </c>
      <c r="K18" s="58">
        <v>659545.06999999995</v>
      </c>
      <c r="L18" s="58">
        <v>532761.05000000005</v>
      </c>
      <c r="M18" s="58">
        <f t="shared" si="3"/>
        <v>-19.222950146530536</v>
      </c>
      <c r="O18" s="58">
        <f>E18/D18</f>
        <v>90.064384626026012</v>
      </c>
    </row>
    <row r="19" spans="1:16" x14ac:dyDescent="0.2">
      <c r="A19" s="77"/>
      <c r="B19" s="77"/>
      <c r="C19" s="77"/>
      <c r="D19" s="77"/>
      <c r="E19" s="77"/>
      <c r="F19" s="77"/>
      <c r="G19" s="77"/>
      <c r="J19" s="58" t="s">
        <v>91</v>
      </c>
      <c r="K19" s="58">
        <v>1038856.21</v>
      </c>
      <c r="L19" s="58">
        <v>789186.5</v>
      </c>
      <c r="M19" s="58">
        <f t="shared" si="3"/>
        <v>-24.033134479698589</v>
      </c>
    </row>
    <row r="20" spans="1:16" x14ac:dyDescent="0.2">
      <c r="A20" s="68"/>
      <c r="B20" s="69"/>
      <c r="C20" s="70"/>
      <c r="D20" s="69"/>
      <c r="E20" s="70"/>
      <c r="F20" s="71"/>
      <c r="G20" s="71"/>
      <c r="J20" s="58" t="s">
        <v>93</v>
      </c>
      <c r="K20" s="58">
        <v>501923.33</v>
      </c>
      <c r="L20" s="58">
        <v>451377.59</v>
      </c>
      <c r="M20" s="58">
        <f t="shared" si="3"/>
        <v>-10.070410554536281</v>
      </c>
    </row>
    <row r="21" spans="1:16" x14ac:dyDescent="0.2">
      <c r="A21" s="68"/>
      <c r="B21" s="69"/>
      <c r="C21" s="70"/>
      <c r="D21" s="69"/>
      <c r="E21" s="70"/>
      <c r="F21" s="71"/>
      <c r="G21" s="71"/>
      <c r="J21" s="58" t="s">
        <v>95</v>
      </c>
      <c r="K21" s="58">
        <f>431907.43</f>
        <v>431907.43</v>
      </c>
      <c r="L21" s="58">
        <f>362161.22</f>
        <v>362161.22</v>
      </c>
      <c r="M21" s="58">
        <f t="shared" si="3"/>
        <v>-16.148416340047689</v>
      </c>
    </row>
    <row r="22" spans="1:16" x14ac:dyDescent="0.2">
      <c r="A22" s="68"/>
      <c r="B22" s="69"/>
      <c r="C22" s="70"/>
      <c r="D22" s="69"/>
      <c r="E22" s="70"/>
      <c r="F22" s="71"/>
      <c r="G22" s="71"/>
      <c r="J22" s="58" t="s">
        <v>97</v>
      </c>
      <c r="K22" s="58">
        <v>390475.62</v>
      </c>
      <c r="L22" s="58">
        <v>353903.45</v>
      </c>
      <c r="M22" s="58">
        <f t="shared" si="3"/>
        <v>-9.3660572201665246</v>
      </c>
    </row>
    <row r="23" spans="1:16" x14ac:dyDescent="0.2">
      <c r="A23" s="68"/>
      <c r="B23" s="69"/>
      <c r="C23" s="70"/>
      <c r="D23" s="69"/>
      <c r="E23" s="70"/>
      <c r="F23" s="71"/>
      <c r="G23" s="71"/>
      <c r="J23" s="58" t="s">
        <v>99</v>
      </c>
      <c r="K23" s="58">
        <v>314191.95</v>
      </c>
      <c r="L23" s="58">
        <v>265637.57</v>
      </c>
      <c r="M23" s="58">
        <f t="shared" si="3"/>
        <v>-15.45373138936246</v>
      </c>
    </row>
    <row r="24" spans="1:16" x14ac:dyDescent="0.2">
      <c r="A24" s="68"/>
      <c r="B24" s="69"/>
      <c r="C24" s="70"/>
      <c r="D24" s="69"/>
      <c r="E24" s="70"/>
      <c r="F24" s="71"/>
      <c r="G24" s="71"/>
      <c r="J24" s="58" t="s">
        <v>100</v>
      </c>
      <c r="K24" s="58">
        <f>68569+20111.78+32845.87+103626.64</f>
        <v>225153.28999999998</v>
      </c>
      <c r="L24" s="58">
        <f>214029.12</f>
        <v>214029.12</v>
      </c>
      <c r="M24" s="58">
        <f t="shared" si="3"/>
        <v>-4.940709505066522</v>
      </c>
    </row>
    <row r="25" spans="1:16" x14ac:dyDescent="0.2">
      <c r="A25" s="68"/>
      <c r="B25" s="69"/>
      <c r="C25" s="70"/>
      <c r="D25" s="69"/>
      <c r="E25" s="70"/>
      <c r="F25" s="71"/>
      <c r="G25" s="71"/>
      <c r="J25" s="58" t="s">
        <v>102</v>
      </c>
      <c r="K25" s="58">
        <v>232090.19</v>
      </c>
      <c r="L25" s="58">
        <v>213530.01</v>
      </c>
      <c r="M25" s="58">
        <f t="shared" si="3"/>
        <v>-7.9969687645996572</v>
      </c>
    </row>
    <row r="26" spans="1:16" x14ac:dyDescent="0.2">
      <c r="A26" s="68"/>
      <c r="B26" s="69"/>
      <c r="C26" s="70"/>
      <c r="D26" s="69"/>
      <c r="E26" s="70"/>
      <c r="F26" s="71"/>
      <c r="G26" s="71"/>
      <c r="J26" s="58" t="s">
        <v>104</v>
      </c>
      <c r="K26" s="58">
        <f>140405.51</f>
        <v>140405.51</v>
      </c>
      <c r="L26" s="58">
        <f>162807.9</f>
        <v>162807.9</v>
      </c>
      <c r="M26" s="58">
        <f t="shared" si="3"/>
        <v>15.955492060105044</v>
      </c>
    </row>
    <row r="27" spans="1:16" x14ac:dyDescent="0.2">
      <c r="A27" s="68"/>
      <c r="B27" s="69"/>
      <c r="C27" s="70"/>
      <c r="D27" s="69"/>
      <c r="E27" s="70"/>
      <c r="F27" s="71"/>
      <c r="G27" s="71"/>
      <c r="J27" s="58" t="s">
        <v>105</v>
      </c>
    </row>
    <row r="28" spans="1:16" x14ac:dyDescent="0.2">
      <c r="A28" s="68"/>
      <c r="B28" s="69"/>
      <c r="C28" s="70"/>
      <c r="D28" s="69"/>
      <c r="E28" s="70"/>
      <c r="F28" s="71"/>
      <c r="G28" s="71"/>
      <c r="J28" s="63" t="s">
        <v>107</v>
      </c>
      <c r="K28" s="63">
        <f>SUM(K16:K27)</f>
        <v>6530473.8200000003</v>
      </c>
      <c r="L28" s="63">
        <f>SUM(L16:L27)</f>
        <v>6387867.25</v>
      </c>
      <c r="M28" s="63">
        <f>(L28/K28)*100-100</f>
        <v>-2.1837093897116375</v>
      </c>
    </row>
    <row r="29" spans="1:16" x14ac:dyDescent="0.2">
      <c r="A29" s="68"/>
      <c r="B29" s="69"/>
      <c r="C29" s="70"/>
      <c r="D29" s="69"/>
      <c r="E29" s="70"/>
      <c r="F29" s="71"/>
      <c r="G29" s="71"/>
      <c r="J29" s="63"/>
      <c r="K29" s="63"/>
      <c r="L29" s="63"/>
      <c r="M29" s="63"/>
    </row>
    <row r="30" spans="1:16" x14ac:dyDescent="0.2">
      <c r="A30" s="68"/>
      <c r="B30" s="69"/>
      <c r="C30" s="70"/>
      <c r="D30" s="69"/>
      <c r="E30" s="70"/>
      <c r="F30" s="71"/>
      <c r="G30" s="71"/>
      <c r="J30" s="63"/>
      <c r="K30" s="63"/>
      <c r="L30" s="63"/>
      <c r="M30" s="63"/>
      <c r="P30" s="58">
        <f>406.7*2.5+95</f>
        <v>1111.75</v>
      </c>
    </row>
    <row r="31" spans="1:16" x14ac:dyDescent="0.2">
      <c r="A31" s="202" t="s">
        <v>108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63"/>
      <c r="M31" s="63"/>
    </row>
    <row r="32" spans="1:16" x14ac:dyDescent="0.2">
      <c r="A32" s="58" t="s">
        <v>109</v>
      </c>
      <c r="D32" s="58">
        <f>58449.55</f>
        <v>58449.55</v>
      </c>
      <c r="E32" s="58" t="s">
        <v>110</v>
      </c>
      <c r="K32" s="58">
        <f>7366196.09</f>
        <v>7366196.0899999999</v>
      </c>
    </row>
    <row r="33" spans="1:15" x14ac:dyDescent="0.2">
      <c r="A33" s="78" t="s">
        <v>111</v>
      </c>
      <c r="B33" s="78"/>
      <c r="C33" s="78"/>
      <c r="D33" s="78">
        <v>111401.24</v>
      </c>
      <c r="E33" s="78" t="s">
        <v>112</v>
      </c>
      <c r="F33" s="78"/>
      <c r="G33" s="78"/>
      <c r="H33" s="78"/>
      <c r="I33" s="78"/>
      <c r="J33" s="78"/>
      <c r="K33" s="78">
        <f>20748.59</f>
        <v>20748.59</v>
      </c>
      <c r="L33" s="63"/>
      <c r="M33" s="63"/>
      <c r="O33" s="58">
        <v>213375.13</v>
      </c>
    </row>
    <row r="34" spans="1:15" x14ac:dyDescent="0.2">
      <c r="A34" s="77" t="s">
        <v>113</v>
      </c>
      <c r="B34" s="77"/>
      <c r="C34" s="77"/>
      <c r="D34" s="77">
        <v>12328.91</v>
      </c>
      <c r="E34" s="77" t="s">
        <v>114</v>
      </c>
      <c r="F34" s="77"/>
      <c r="G34" s="77"/>
      <c r="H34" s="77"/>
      <c r="I34" s="77"/>
      <c r="J34" s="77"/>
      <c r="K34" s="77">
        <f>48777.77</f>
        <v>48777.77</v>
      </c>
      <c r="L34" s="63"/>
      <c r="M34" s="63"/>
      <c r="O34" s="58">
        <v>192789.64</v>
      </c>
    </row>
    <row r="35" spans="1:15" x14ac:dyDescent="0.2">
      <c r="A35" s="78" t="s">
        <v>115</v>
      </c>
      <c r="B35" s="78"/>
      <c r="C35" s="78"/>
      <c r="D35" s="78">
        <f>1010.42</f>
        <v>1010.42</v>
      </c>
      <c r="E35" s="78" t="s">
        <v>116</v>
      </c>
      <c r="F35" s="78"/>
      <c r="G35" s="78"/>
      <c r="H35" s="78"/>
      <c r="I35" s="78"/>
      <c r="J35" s="78"/>
      <c r="K35" s="78">
        <f>135084.07</f>
        <v>135084.07</v>
      </c>
      <c r="O35" s="58">
        <v>8949150.9900000002</v>
      </c>
    </row>
    <row r="36" spans="1:15" x14ac:dyDescent="0.2">
      <c r="A36" s="77" t="s">
        <v>117</v>
      </c>
      <c r="B36" s="77"/>
      <c r="C36" s="77"/>
      <c r="D36" s="77">
        <f>50824.16</f>
        <v>50824.160000000003</v>
      </c>
      <c r="E36" s="77" t="s">
        <v>118</v>
      </c>
      <c r="F36" s="77"/>
      <c r="G36" s="77"/>
      <c r="H36" s="77"/>
      <c r="I36" s="77"/>
      <c r="J36" s="77"/>
      <c r="K36" s="77">
        <f>1834.22</f>
        <v>1834.22</v>
      </c>
      <c r="L36" s="63"/>
      <c r="M36" s="63"/>
      <c r="O36" s="58">
        <f>SUM(O33:O35)</f>
        <v>9355315.7599999998</v>
      </c>
    </row>
    <row r="37" spans="1:15" x14ac:dyDescent="0.2">
      <c r="A37" s="78" t="s">
        <v>119</v>
      </c>
      <c r="B37" s="78"/>
      <c r="C37" s="78"/>
      <c r="D37" s="78">
        <f>61667.63</f>
        <v>61667.63</v>
      </c>
      <c r="E37" s="78"/>
      <c r="F37" s="78"/>
      <c r="G37" s="78"/>
      <c r="H37" s="78"/>
      <c r="I37" s="78"/>
      <c r="J37" s="78"/>
      <c r="K37" s="78"/>
      <c r="L37" s="63"/>
      <c r="M37" s="63"/>
    </row>
    <row r="38" spans="1:15" x14ac:dyDescent="0.2">
      <c r="A38" s="77"/>
      <c r="B38" s="77"/>
      <c r="C38" s="77"/>
      <c r="D38" s="77"/>
      <c r="E38" s="68" t="s">
        <v>98</v>
      </c>
      <c r="F38" s="77"/>
      <c r="G38" s="77"/>
      <c r="H38" s="77"/>
      <c r="I38" s="77"/>
      <c r="J38" s="77"/>
      <c r="K38" s="68">
        <f>D32+D33+D34+D35+D36+K32+K33+K34+K35+K36+D37</f>
        <v>7868322.6499999994</v>
      </c>
    </row>
    <row r="39" spans="1:15" x14ac:dyDescent="0.2">
      <c r="M39" s="63"/>
    </row>
    <row r="43" spans="1:15" ht="6" customHeight="1" x14ac:dyDescent="0.2"/>
    <row r="53" spans="1:1" ht="6.75" customHeight="1" x14ac:dyDescent="0.2"/>
    <row r="56" spans="1:1" ht="6" customHeight="1" x14ac:dyDescent="0.2"/>
    <row r="58" spans="1:1" x14ac:dyDescent="0.2">
      <c r="A58" s="68"/>
    </row>
  </sheetData>
  <mergeCells count="15">
    <mergeCell ref="A2:G2"/>
    <mergeCell ref="J2:M2"/>
    <mergeCell ref="B3:C3"/>
    <mergeCell ref="D3:E3"/>
    <mergeCell ref="F3:G3"/>
    <mergeCell ref="J3:M3"/>
    <mergeCell ref="F4:F5"/>
    <mergeCell ref="G4:G5"/>
    <mergeCell ref="J14:M14"/>
    <mergeCell ref="A31:K31"/>
    <mergeCell ref="A4:A5"/>
    <mergeCell ref="B4:B5"/>
    <mergeCell ref="C4:C5"/>
    <mergeCell ref="D4:D5"/>
    <mergeCell ref="E4:E5"/>
  </mergeCells>
  <printOptions horizontalCentered="1"/>
  <pageMargins left="0.51180555555555496" right="0.51180555555555496" top="0.78749999999999998" bottom="0.78749999999999998" header="0.51180555555555496" footer="0.51180555555555496"/>
  <pageSetup paperSize="9" scale="96" firstPageNumber="0" orientation="landscape" horizontalDpi="300" verticalDpi="300"/>
  <colBreaks count="1" manualBreakCount="1">
    <brk id="13" max="104857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H44"/>
  <sheetViews>
    <sheetView zoomScale="160" zoomScaleNormal="160" workbookViewId="0">
      <selection activeCell="A39" sqref="A39"/>
    </sheetView>
  </sheetViews>
  <sheetFormatPr defaultRowHeight="12.75" x14ac:dyDescent="0.2"/>
  <cols>
    <col min="1" max="1" width="31.42578125" customWidth="1"/>
    <col min="2" max="4" width="12.7109375" customWidth="1"/>
    <col min="5" max="5" width="7.85546875" customWidth="1"/>
    <col min="6" max="6" width="10.42578125" customWidth="1"/>
    <col min="7" max="7" width="30.7109375" customWidth="1"/>
    <col min="8" max="10" width="12.7109375" customWidth="1"/>
    <col min="11" max="11" width="6.5703125" customWidth="1"/>
    <col min="12" max="1025" width="8.7109375" customWidth="1"/>
  </cols>
  <sheetData>
    <row r="1" spans="1:7" ht="12.75" customHeight="1" x14ac:dyDescent="0.2">
      <c r="A1" s="206" t="s">
        <v>120</v>
      </c>
      <c r="B1" s="206"/>
      <c r="C1" s="206"/>
      <c r="D1" s="206"/>
      <c r="E1" s="206"/>
    </row>
    <row r="2" spans="1:7" ht="12.75" customHeight="1" x14ac:dyDescent="0.2">
      <c r="A2" s="207" t="s">
        <v>121</v>
      </c>
      <c r="B2" s="207" t="s">
        <v>122</v>
      </c>
      <c r="C2" s="207" t="s">
        <v>123</v>
      </c>
      <c r="D2" s="207" t="s">
        <v>124</v>
      </c>
      <c r="E2" s="207" t="s">
        <v>125</v>
      </c>
    </row>
    <row r="3" spans="1:7" x14ac:dyDescent="0.2">
      <c r="A3" s="207"/>
      <c r="B3" s="207"/>
      <c r="C3" s="207"/>
      <c r="D3" s="207"/>
      <c r="E3" s="207"/>
    </row>
    <row r="4" spans="1:7" x14ac:dyDescent="0.2">
      <c r="A4" s="207"/>
      <c r="B4" s="79">
        <f>B5+B6+B11+B18+B26+B29+B32+B35</f>
        <v>862709.16000000015</v>
      </c>
      <c r="C4" s="79">
        <f>C5+C6+C11+C18+C26+C29+C32+C35</f>
        <v>13031320.249999998</v>
      </c>
      <c r="D4" s="79">
        <f>D5+D6+D11+D18+D26+D29+D32+D35</f>
        <v>14505999.800000001</v>
      </c>
      <c r="E4" s="80">
        <f t="shared" ref="E4:E16" si="0">C4/D4*100</f>
        <v>89.834002686253996</v>
      </c>
      <c r="G4" s="81"/>
    </row>
    <row r="5" spans="1:7" x14ac:dyDescent="0.2">
      <c r="A5" s="82" t="s">
        <v>126</v>
      </c>
      <c r="B5" s="83">
        <f>406667.17</f>
        <v>406667.17</v>
      </c>
      <c r="C5" s="82">
        <f>3748865.46</f>
        <v>3748865.46</v>
      </c>
      <c r="D5" s="82">
        <v>4294000</v>
      </c>
      <c r="E5" s="84">
        <f t="shared" si="0"/>
        <v>87.304738239403818</v>
      </c>
    </row>
    <row r="6" spans="1:7" ht="12" customHeight="1" x14ac:dyDescent="0.2">
      <c r="A6" s="82" t="s">
        <v>127</v>
      </c>
      <c r="B6" s="83">
        <f>SUM(B7:B10)</f>
        <v>302485.61</v>
      </c>
      <c r="C6" s="83">
        <f>SUM(C7:C10)</f>
        <v>6053019.9699999997</v>
      </c>
      <c r="D6" s="83">
        <f>SUM(D7:D10)</f>
        <v>6826649.7999999998</v>
      </c>
      <c r="E6" s="84">
        <f t="shared" si="0"/>
        <v>88.667503787875575</v>
      </c>
    </row>
    <row r="7" spans="1:7" hidden="1" x14ac:dyDescent="0.2">
      <c r="A7" s="77" t="s">
        <v>128</v>
      </c>
      <c r="B7" s="85">
        <f>146770.9</f>
        <v>146770.9</v>
      </c>
      <c r="C7" s="77">
        <f>2891719</f>
        <v>2891719</v>
      </c>
      <c r="D7" s="77">
        <v>3345000</v>
      </c>
      <c r="E7" s="59">
        <f t="shared" si="0"/>
        <v>86.448998505231685</v>
      </c>
    </row>
    <row r="8" spans="1:7" hidden="1" x14ac:dyDescent="0.2">
      <c r="A8" s="77" t="s">
        <v>129</v>
      </c>
      <c r="B8" s="85">
        <f>31320</f>
        <v>31320</v>
      </c>
      <c r="C8" s="77">
        <f>306857.83</f>
        <v>306857.83</v>
      </c>
      <c r="D8" s="77">
        <v>382649.8</v>
      </c>
      <c r="E8" s="59">
        <f t="shared" si="0"/>
        <v>80.192863030373999</v>
      </c>
    </row>
    <row r="9" spans="1:7" hidden="1" x14ac:dyDescent="0.2">
      <c r="A9" s="77" t="s">
        <v>130</v>
      </c>
      <c r="B9" s="85">
        <f>115777.65</f>
        <v>115777.65</v>
      </c>
      <c r="C9" s="77">
        <f>2620831.18</f>
        <v>2620831.1800000002</v>
      </c>
      <c r="D9" s="77">
        <v>2818000</v>
      </c>
      <c r="E9" s="59">
        <f t="shared" si="0"/>
        <v>93.003235628105045</v>
      </c>
    </row>
    <row r="10" spans="1:7" hidden="1" x14ac:dyDescent="0.2">
      <c r="A10" s="77" t="s">
        <v>131</v>
      </c>
      <c r="B10" s="85">
        <f>8617.06</f>
        <v>8617.06</v>
      </c>
      <c r="C10" s="77">
        <f>233611.96</f>
        <v>233611.96</v>
      </c>
      <c r="D10" s="77">
        <v>281000</v>
      </c>
      <c r="E10" s="59">
        <f t="shared" si="0"/>
        <v>83.13592882562277</v>
      </c>
    </row>
    <row r="11" spans="1:7" x14ac:dyDescent="0.2">
      <c r="A11" s="82" t="s">
        <v>132</v>
      </c>
      <c r="B11" s="83">
        <f>SUM(B12:B17)</f>
        <v>25759.979999999996</v>
      </c>
      <c r="C11" s="83">
        <f>SUM(C12:C17)</f>
        <v>370327.1</v>
      </c>
      <c r="D11" s="83">
        <f>SUM(D12:D17)</f>
        <v>550100</v>
      </c>
      <c r="E11" s="84">
        <f t="shared" si="0"/>
        <v>67.319960007271391</v>
      </c>
    </row>
    <row r="12" spans="1:7" hidden="1" x14ac:dyDescent="0.2">
      <c r="A12" s="58" t="s">
        <v>133</v>
      </c>
      <c r="B12" s="86">
        <f>4119.92</f>
        <v>4119.92</v>
      </c>
      <c r="C12" s="58">
        <f>74424.88</f>
        <v>74424.88</v>
      </c>
      <c r="D12" s="58">
        <v>134000</v>
      </c>
      <c r="E12" s="59">
        <f t="shared" si="0"/>
        <v>55.540955223880609</v>
      </c>
    </row>
    <row r="13" spans="1:7" hidden="1" x14ac:dyDescent="0.2">
      <c r="A13" s="58" t="s">
        <v>134</v>
      </c>
      <c r="B13" s="86">
        <f>7911.4</f>
        <v>7911.4</v>
      </c>
      <c r="C13" s="58">
        <f>104001.18</f>
        <v>104001.18</v>
      </c>
      <c r="D13" s="58">
        <v>149000</v>
      </c>
      <c r="E13" s="59">
        <f t="shared" si="0"/>
        <v>69.799449664429531</v>
      </c>
    </row>
    <row r="14" spans="1:7" hidden="1" x14ac:dyDescent="0.2">
      <c r="A14" s="58" t="s">
        <v>135</v>
      </c>
      <c r="B14" s="86">
        <f>2970.24</f>
        <v>2970.24</v>
      </c>
      <c r="C14" s="58">
        <f>52918.04</f>
        <v>52918.04</v>
      </c>
      <c r="D14" s="58">
        <v>86000</v>
      </c>
      <c r="E14" s="59">
        <f t="shared" si="0"/>
        <v>61.532604651162792</v>
      </c>
    </row>
    <row r="15" spans="1:7" hidden="1" x14ac:dyDescent="0.2">
      <c r="A15" s="58" t="s">
        <v>136</v>
      </c>
      <c r="B15" s="86">
        <f>8948.71</f>
        <v>8948.7099999999991</v>
      </c>
      <c r="C15" s="58">
        <f>121443.33</f>
        <v>121443.33</v>
      </c>
      <c r="D15" s="58">
        <v>161100</v>
      </c>
      <c r="E15" s="59">
        <f t="shared" si="0"/>
        <v>75.383817504655497</v>
      </c>
    </row>
    <row r="16" spans="1:7" hidden="1" x14ac:dyDescent="0.2">
      <c r="A16" s="58" t="s">
        <v>137</v>
      </c>
      <c r="B16" s="86">
        <f>1809.71</f>
        <v>1809.71</v>
      </c>
      <c r="C16" s="58">
        <f>17539.67</f>
        <v>17539.669999999998</v>
      </c>
      <c r="D16" s="58">
        <v>20000</v>
      </c>
      <c r="E16" s="59">
        <f t="shared" si="0"/>
        <v>87.698349999999991</v>
      </c>
    </row>
    <row r="17" spans="1:7" hidden="1" x14ac:dyDescent="0.2">
      <c r="A17" s="58" t="s">
        <v>138</v>
      </c>
      <c r="B17" s="86">
        <v>0</v>
      </c>
      <c r="C17" s="58">
        <v>0</v>
      </c>
      <c r="D17" s="58">
        <v>0</v>
      </c>
      <c r="E17" s="59">
        <v>0</v>
      </c>
    </row>
    <row r="18" spans="1:7" x14ac:dyDescent="0.2">
      <c r="A18" s="82" t="s">
        <v>139</v>
      </c>
      <c r="B18" s="83">
        <f>SUM(B19:B25)</f>
        <v>59211.56</v>
      </c>
      <c r="C18" s="83">
        <f>SUM(C19:C25)</f>
        <v>410206.86</v>
      </c>
      <c r="D18" s="83">
        <f>SUM(D19:D25)</f>
        <v>1076630</v>
      </c>
      <c r="E18" s="84">
        <f t="shared" ref="E18:E40" si="1">C18/D18*100</f>
        <v>38.101005916610163</v>
      </c>
      <c r="G18" s="81">
        <f>C18-250178.66</f>
        <v>160028.19999999998</v>
      </c>
    </row>
    <row r="19" spans="1:7" hidden="1" x14ac:dyDescent="0.2">
      <c r="A19" s="58" t="s">
        <v>140</v>
      </c>
      <c r="B19" s="86">
        <f>777.43</f>
        <v>777.43</v>
      </c>
      <c r="C19" s="58">
        <f>2760.69</f>
        <v>2760.69</v>
      </c>
      <c r="D19" s="58">
        <v>130</v>
      </c>
      <c r="E19" s="59">
        <f t="shared" si="1"/>
        <v>2123.6076923076921</v>
      </c>
    </row>
    <row r="20" spans="1:7" hidden="1" x14ac:dyDescent="0.2">
      <c r="A20" s="58" t="s">
        <v>141</v>
      </c>
      <c r="B20" s="86">
        <f>578.54</f>
        <v>578.54</v>
      </c>
      <c r="C20" s="58">
        <f>19971.6</f>
        <v>19971.599999999999</v>
      </c>
      <c r="D20" s="58">
        <v>16000</v>
      </c>
      <c r="E20" s="59">
        <f t="shared" si="1"/>
        <v>124.82249999999999</v>
      </c>
    </row>
    <row r="21" spans="1:7" hidden="1" x14ac:dyDescent="0.2">
      <c r="A21" s="58" t="s">
        <v>142</v>
      </c>
      <c r="B21" s="86">
        <f>3452.05</f>
        <v>3452.05</v>
      </c>
      <c r="C21" s="58">
        <f>44596.74</f>
        <v>44596.74</v>
      </c>
      <c r="D21" s="58">
        <v>93000</v>
      </c>
      <c r="E21" s="59">
        <f t="shared" si="1"/>
        <v>47.953483870967737</v>
      </c>
    </row>
    <row r="22" spans="1:7" hidden="1" x14ac:dyDescent="0.2">
      <c r="A22" s="58" t="s">
        <v>143</v>
      </c>
      <c r="B22" s="85">
        <f>194.39</f>
        <v>194.39</v>
      </c>
      <c r="C22" s="77">
        <f>9016.21</f>
        <v>9016.2099999999991</v>
      </c>
      <c r="D22" s="58">
        <v>11400</v>
      </c>
      <c r="E22" s="59">
        <f t="shared" si="1"/>
        <v>79.089561403508768</v>
      </c>
    </row>
    <row r="23" spans="1:7" hidden="1" x14ac:dyDescent="0.2">
      <c r="A23" s="58" t="s">
        <v>144</v>
      </c>
      <c r="B23" s="86">
        <f>45757.07</f>
        <v>45757.07</v>
      </c>
      <c r="C23" s="58">
        <f>221767.21</f>
        <v>221767.21</v>
      </c>
      <c r="D23" s="58">
        <v>509000</v>
      </c>
      <c r="E23" s="59">
        <f t="shared" si="1"/>
        <v>43.569196463654222</v>
      </c>
    </row>
    <row r="24" spans="1:7" hidden="1" x14ac:dyDescent="0.2">
      <c r="A24" s="58" t="s">
        <v>145</v>
      </c>
      <c r="B24" s="86">
        <f>7825.66</f>
        <v>7825.66</v>
      </c>
      <c r="C24" s="58">
        <f>110005.07</f>
        <v>110005.07</v>
      </c>
      <c r="D24" s="58">
        <v>439000</v>
      </c>
      <c r="E24" s="59">
        <f t="shared" si="1"/>
        <v>25.058102505694762</v>
      </c>
    </row>
    <row r="25" spans="1:7" hidden="1" x14ac:dyDescent="0.2">
      <c r="A25" s="58" t="s">
        <v>146</v>
      </c>
      <c r="B25" s="85">
        <f>626.42</f>
        <v>626.41999999999996</v>
      </c>
      <c r="C25" s="77">
        <f>2089.34</f>
        <v>2089.34</v>
      </c>
      <c r="D25" s="58">
        <v>8100</v>
      </c>
      <c r="E25" s="59">
        <f t="shared" si="1"/>
        <v>25.794320987654324</v>
      </c>
    </row>
    <row r="26" spans="1:7" x14ac:dyDescent="0.2">
      <c r="A26" s="82" t="s">
        <v>147</v>
      </c>
      <c r="B26" s="83">
        <f>SUM(B27:B28)</f>
        <v>0</v>
      </c>
      <c r="C26" s="83">
        <f>SUM(C27:C28)</f>
        <v>1471790.36</v>
      </c>
      <c r="D26" s="83">
        <f>SUM(D27:D28)</f>
        <v>482000</v>
      </c>
      <c r="E26" s="84">
        <f t="shared" si="1"/>
        <v>305.35069709543569</v>
      </c>
    </row>
    <row r="27" spans="1:7" hidden="1" x14ac:dyDescent="0.2">
      <c r="A27" s="77" t="s">
        <v>148</v>
      </c>
      <c r="B27" s="85">
        <v>0</v>
      </c>
      <c r="C27" s="77">
        <f>1421762.56</f>
        <v>1421762.5600000001</v>
      </c>
      <c r="D27" s="77">
        <v>432000</v>
      </c>
      <c r="E27" s="59">
        <f t="shared" si="1"/>
        <v>329.11170370370371</v>
      </c>
    </row>
    <row r="28" spans="1:7" hidden="1" x14ac:dyDescent="0.2">
      <c r="A28" s="58" t="s">
        <v>149</v>
      </c>
      <c r="B28" s="86">
        <v>0</v>
      </c>
      <c r="C28" s="58">
        <f>50027.8</f>
        <v>50027.8</v>
      </c>
      <c r="D28" s="58">
        <v>50000</v>
      </c>
      <c r="E28" s="59">
        <f t="shared" si="1"/>
        <v>100.0556</v>
      </c>
    </row>
    <row r="29" spans="1:7" x14ac:dyDescent="0.2">
      <c r="A29" s="82" t="s">
        <v>150</v>
      </c>
      <c r="B29" s="83">
        <f>SUM(B30:B31)</f>
        <v>60268.54</v>
      </c>
      <c r="C29" s="83">
        <f>SUM(C30:C31)</f>
        <v>758190.25</v>
      </c>
      <c r="D29" s="83">
        <f>SUM(D30:D31)</f>
        <v>1005000</v>
      </c>
      <c r="E29" s="84">
        <f t="shared" si="1"/>
        <v>75.441815920398014</v>
      </c>
    </row>
    <row r="30" spans="1:7" hidden="1" x14ac:dyDescent="0.2">
      <c r="A30" s="58" t="s">
        <v>151</v>
      </c>
      <c r="B30" s="86">
        <v>0</v>
      </c>
      <c r="C30" s="58">
        <f>2844.3</f>
        <v>2844.3</v>
      </c>
      <c r="D30" s="58">
        <v>5000</v>
      </c>
      <c r="E30" s="59">
        <f t="shared" si="1"/>
        <v>56.886000000000003</v>
      </c>
    </row>
    <row r="31" spans="1:7" hidden="1" x14ac:dyDescent="0.2">
      <c r="A31" s="58" t="s">
        <v>152</v>
      </c>
      <c r="B31" s="86">
        <f>60268.54</f>
        <v>60268.54</v>
      </c>
      <c r="C31" s="58">
        <f>755345.95</f>
        <v>755345.95</v>
      </c>
      <c r="D31" s="58">
        <v>1000000</v>
      </c>
      <c r="E31" s="59">
        <f t="shared" si="1"/>
        <v>75.534594999999996</v>
      </c>
    </row>
    <row r="32" spans="1:7" x14ac:dyDescent="0.2">
      <c r="A32" s="82" t="s">
        <v>153</v>
      </c>
      <c r="B32" s="83">
        <f>SUM(B33:B34)</f>
        <v>8316.2999999999993</v>
      </c>
      <c r="C32" s="83">
        <f>SUM(C33:C34)</f>
        <v>207116.08</v>
      </c>
      <c r="D32" s="83">
        <f>SUM(D33:D34)</f>
        <v>262000</v>
      </c>
      <c r="E32" s="84">
        <f t="shared" si="1"/>
        <v>79.051938931297698</v>
      </c>
    </row>
    <row r="33" spans="1:8" hidden="1" x14ac:dyDescent="0.2">
      <c r="A33" s="58" t="s">
        <v>154</v>
      </c>
      <c r="B33" s="86">
        <f>1949.23</f>
        <v>1949.23</v>
      </c>
      <c r="C33" s="58">
        <f>65080.97</f>
        <v>65080.97</v>
      </c>
      <c r="D33" s="58">
        <v>62000</v>
      </c>
      <c r="E33" s="59">
        <f t="shared" si="1"/>
        <v>104.96930645161291</v>
      </c>
    </row>
    <row r="34" spans="1:8" hidden="1" x14ac:dyDescent="0.2">
      <c r="A34" s="58" t="s">
        <v>155</v>
      </c>
      <c r="B34" s="86">
        <f>6367.07</f>
        <v>6367.07</v>
      </c>
      <c r="C34" s="58">
        <f>142035.11</f>
        <v>142035.10999999999</v>
      </c>
      <c r="D34" s="58">
        <v>200000</v>
      </c>
      <c r="E34" s="59">
        <f t="shared" si="1"/>
        <v>71.017554999999987</v>
      </c>
    </row>
    <row r="35" spans="1:8" x14ac:dyDescent="0.2">
      <c r="A35" s="82" t="s">
        <v>156</v>
      </c>
      <c r="B35" s="83">
        <f>SUM(B36:B37)</f>
        <v>0</v>
      </c>
      <c r="C35" s="83">
        <f>SUM(C36:C37)</f>
        <v>11804.17</v>
      </c>
      <c r="D35" s="83">
        <f>SUM(D36:D37)</f>
        <v>9620</v>
      </c>
      <c r="E35" s="84">
        <f t="shared" si="1"/>
        <v>122.70446985446985</v>
      </c>
      <c r="G35" s="87">
        <f>B43</f>
        <v>916003.9800000001</v>
      </c>
    </row>
    <row r="36" spans="1:8" hidden="1" x14ac:dyDescent="0.2">
      <c r="A36" s="58" t="s">
        <v>157</v>
      </c>
      <c r="B36" s="86">
        <v>0</v>
      </c>
      <c r="C36" s="58">
        <f>126.06</f>
        <v>126.06</v>
      </c>
      <c r="D36" s="58">
        <v>5000</v>
      </c>
      <c r="E36" s="59">
        <f t="shared" si="1"/>
        <v>2.5212000000000003</v>
      </c>
      <c r="G36" s="87">
        <f>B40</f>
        <v>53294.82</v>
      </c>
    </row>
    <row r="37" spans="1:8" hidden="1" x14ac:dyDescent="0.2">
      <c r="A37" s="58" t="s">
        <v>158</v>
      </c>
      <c r="B37" s="86">
        <v>0</v>
      </c>
      <c r="C37" s="58">
        <f>11678.11</f>
        <v>11678.11</v>
      </c>
      <c r="D37" s="58">
        <v>4620</v>
      </c>
      <c r="E37" s="59">
        <f t="shared" si="1"/>
        <v>252.77294372294375</v>
      </c>
      <c r="G37" s="87">
        <f>B27</f>
        <v>0</v>
      </c>
    </row>
    <row r="38" spans="1:8" x14ac:dyDescent="0.2">
      <c r="A38" s="88" t="s">
        <v>159</v>
      </c>
      <c r="B38" s="89">
        <f>SUM(B39:B42)</f>
        <v>53294.82</v>
      </c>
      <c r="C38" s="89">
        <f>SUM(C39:C42)</f>
        <v>190056.37</v>
      </c>
      <c r="D38" s="89">
        <f>SUM(D39:D42)</f>
        <v>2600000</v>
      </c>
      <c r="E38" s="79">
        <f t="shared" si="1"/>
        <v>7.3098603846153836</v>
      </c>
      <c r="G38" s="81">
        <f>G35-G36-G37</f>
        <v>862709.16000000015</v>
      </c>
      <c r="H38">
        <f>G38/G39</f>
        <v>1.1172782060538562</v>
      </c>
    </row>
    <row r="39" spans="1:8" hidden="1" x14ac:dyDescent="0.2">
      <c r="A39" s="58" t="s">
        <v>160</v>
      </c>
      <c r="B39" s="86">
        <v>0</v>
      </c>
      <c r="C39" s="90">
        <f>97514.05</f>
        <v>97514.05</v>
      </c>
      <c r="D39" s="90">
        <v>300000</v>
      </c>
      <c r="E39" s="91">
        <f t="shared" si="1"/>
        <v>32.504683333333332</v>
      </c>
      <c r="G39" s="92">
        <v>772152.5</v>
      </c>
    </row>
    <row r="40" spans="1:8" hidden="1" x14ac:dyDescent="0.2">
      <c r="A40" s="77" t="s">
        <v>161</v>
      </c>
      <c r="B40" s="91">
        <f>53294.82</f>
        <v>53294.82</v>
      </c>
      <c r="C40" s="91">
        <f>92542.32</f>
        <v>92542.32</v>
      </c>
      <c r="D40" s="91">
        <v>2300000</v>
      </c>
      <c r="E40" s="91">
        <f t="shared" si="1"/>
        <v>4.0235791304347828</v>
      </c>
    </row>
    <row r="41" spans="1:8" hidden="1" x14ac:dyDescent="0.2">
      <c r="A41" s="58" t="s">
        <v>162</v>
      </c>
      <c r="B41" s="86">
        <v>0</v>
      </c>
      <c r="C41" s="90">
        <v>0</v>
      </c>
      <c r="D41" s="90">
        <v>0</v>
      </c>
      <c r="E41" s="91">
        <v>0</v>
      </c>
    </row>
    <row r="42" spans="1:8" hidden="1" x14ac:dyDescent="0.2">
      <c r="A42" s="58" t="s">
        <v>163</v>
      </c>
      <c r="B42" s="86">
        <v>0</v>
      </c>
      <c r="C42" s="90">
        <v>0</v>
      </c>
      <c r="D42" s="90">
        <v>0</v>
      </c>
      <c r="E42" s="91">
        <v>0</v>
      </c>
    </row>
    <row r="43" spans="1:8" x14ac:dyDescent="0.2">
      <c r="A43" s="60" t="s">
        <v>164</v>
      </c>
      <c r="B43" s="62">
        <f>B4+B38</f>
        <v>916003.9800000001</v>
      </c>
      <c r="C43" s="62">
        <f>C4+C38</f>
        <v>13221376.619999997</v>
      </c>
      <c r="D43" s="62">
        <f>D4+D38</f>
        <v>17105999.800000001</v>
      </c>
      <c r="E43" s="62">
        <f>C43/D43*100</f>
        <v>77.290873229169549</v>
      </c>
      <c r="F43" s="93"/>
      <c r="G43" s="81"/>
    </row>
    <row r="44" spans="1:8" x14ac:dyDescent="0.2">
      <c r="A44" s="58" t="s">
        <v>165</v>
      </c>
      <c r="B44" s="58"/>
      <c r="C44" s="58"/>
      <c r="D44" s="58"/>
      <c r="E44" s="58"/>
    </row>
  </sheetData>
  <mergeCells count="6">
    <mergeCell ref="A1:E1"/>
    <mergeCell ref="A2:A4"/>
    <mergeCell ref="B2:B3"/>
    <mergeCell ref="C2:C3"/>
    <mergeCell ref="D2:D3"/>
    <mergeCell ref="E2:E3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O47"/>
  <sheetViews>
    <sheetView zoomScale="160" zoomScaleNormal="160" workbookViewId="0">
      <selection activeCell="G49" sqref="G49"/>
    </sheetView>
  </sheetViews>
  <sheetFormatPr defaultRowHeight="12.75" x14ac:dyDescent="0.2"/>
  <cols>
    <col min="1" max="1" width="37" customWidth="1"/>
    <col min="2" max="4" width="12.7109375" customWidth="1"/>
    <col min="5" max="5" width="8.140625" customWidth="1"/>
    <col min="6" max="6" width="11.7109375" customWidth="1"/>
    <col min="7" max="7" width="27.140625" customWidth="1"/>
    <col min="8" max="10" width="15.7109375" customWidth="1"/>
    <col min="11" max="11" width="11.42578125" customWidth="1"/>
    <col min="12" max="12" width="11" customWidth="1"/>
    <col min="13" max="1025" width="8.7109375" customWidth="1"/>
  </cols>
  <sheetData>
    <row r="1" spans="1:15" x14ac:dyDescent="0.2">
      <c r="A1" s="202" t="s">
        <v>166</v>
      </c>
      <c r="B1" s="202"/>
      <c r="C1" s="202"/>
      <c r="D1" s="202"/>
      <c r="E1" s="202"/>
      <c r="G1" s="208" t="s">
        <v>167</v>
      </c>
      <c r="H1" s="209" t="s">
        <v>168</v>
      </c>
      <c r="I1" s="209"/>
      <c r="J1" s="209"/>
      <c r="K1" s="94"/>
      <c r="L1" s="94"/>
      <c r="M1" s="94"/>
      <c r="N1" s="94"/>
      <c r="O1" s="94"/>
    </row>
    <row r="2" spans="1:15" ht="12.75" customHeight="1" x14ac:dyDescent="0.2">
      <c r="A2" s="210" t="s">
        <v>169</v>
      </c>
      <c r="B2" s="211" t="s">
        <v>170</v>
      </c>
      <c r="C2" s="211" t="s">
        <v>171</v>
      </c>
      <c r="D2" s="211" t="s">
        <v>172</v>
      </c>
      <c r="E2" s="211" t="s">
        <v>173</v>
      </c>
      <c r="G2" s="208"/>
      <c r="H2" s="209" t="s">
        <v>174</v>
      </c>
      <c r="I2" s="209"/>
      <c r="J2" s="209"/>
      <c r="K2" s="94"/>
      <c r="L2" s="94"/>
      <c r="M2" s="94"/>
      <c r="N2" s="94"/>
      <c r="O2" s="94"/>
    </row>
    <row r="3" spans="1:15" x14ac:dyDescent="0.2">
      <c r="A3" s="210"/>
      <c r="B3" s="211"/>
      <c r="C3" s="211"/>
      <c r="D3" s="211"/>
      <c r="E3" s="211"/>
      <c r="G3" s="208"/>
      <c r="H3" s="95" t="s">
        <v>175</v>
      </c>
      <c r="I3" s="95" t="s">
        <v>176</v>
      </c>
      <c r="J3" s="95" t="s">
        <v>177</v>
      </c>
      <c r="K3" s="94"/>
      <c r="L3" s="94"/>
      <c r="M3" s="94"/>
      <c r="N3" s="94"/>
      <c r="O3" s="94"/>
    </row>
    <row r="4" spans="1:15" x14ac:dyDescent="0.2">
      <c r="A4" s="210"/>
      <c r="B4" s="96">
        <f>B5+B11+B31+B32+B33+B36+B37</f>
        <v>1408578.24</v>
      </c>
      <c r="C4" s="96">
        <f>C5+C11+C31+C32+C33+C36+C37</f>
        <v>11035424.470000001</v>
      </c>
      <c r="D4" s="96">
        <f>D5+D11+D31+D32+D33+D36</f>
        <v>14455999.800000001</v>
      </c>
      <c r="E4" s="97">
        <f t="shared" ref="E4:E36" si="0">C4/D4*100</f>
        <v>76.338023123104918</v>
      </c>
      <c r="G4" s="98" t="s">
        <v>178</v>
      </c>
      <c r="H4" s="99">
        <f>B5</f>
        <v>1072854.83</v>
      </c>
      <c r="I4" s="99">
        <f>918749.05</f>
        <v>918749.05</v>
      </c>
      <c r="J4" s="99">
        <f t="shared" ref="J4:J11" si="1">H4-I4</f>
        <v>154105.78000000003</v>
      </c>
      <c r="K4" s="94"/>
      <c r="L4" s="94"/>
      <c r="M4" s="94"/>
      <c r="N4" s="94"/>
      <c r="O4" s="94"/>
    </row>
    <row r="5" spans="1:15" x14ac:dyDescent="0.2">
      <c r="A5" s="100" t="s">
        <v>178</v>
      </c>
      <c r="B5" s="100">
        <f>SUM(B6:B10)</f>
        <v>1072854.83</v>
      </c>
      <c r="C5" s="100">
        <f>SUM(C6:C10)</f>
        <v>7756607.0199999996</v>
      </c>
      <c r="D5" s="100">
        <f>SUM(D6:D10)</f>
        <v>7901164.3399999989</v>
      </c>
      <c r="E5" s="100">
        <f t="shared" si="0"/>
        <v>98.170430157133026</v>
      </c>
      <c r="G5" s="98" t="s">
        <v>179</v>
      </c>
      <c r="H5" s="99">
        <f>B11</f>
        <v>267982.02</v>
      </c>
      <c r="I5" s="99">
        <f>236953.79</f>
        <v>236953.79</v>
      </c>
      <c r="J5" s="99">
        <f t="shared" si="1"/>
        <v>31028.23000000001</v>
      </c>
      <c r="K5" s="94"/>
      <c r="L5" s="94"/>
      <c r="M5" s="94"/>
      <c r="N5" s="94"/>
      <c r="O5" s="94"/>
    </row>
    <row r="6" spans="1:15" hidden="1" x14ac:dyDescent="0.2">
      <c r="A6" s="77" t="s">
        <v>180</v>
      </c>
      <c r="B6" s="77">
        <f>735710.26</f>
        <v>735710.26</v>
      </c>
      <c r="C6" s="77">
        <f>5625788.84</f>
        <v>5625788.8399999999</v>
      </c>
      <c r="D6" s="77">
        <f>5703362.76</f>
        <v>5703362.7599999998</v>
      </c>
      <c r="E6" s="77">
        <f t="shared" si="0"/>
        <v>98.639856462505634</v>
      </c>
      <c r="G6" s="98" t="s">
        <v>181</v>
      </c>
      <c r="H6" s="99">
        <f>B31</f>
        <v>25.99</v>
      </c>
      <c r="I6" s="101">
        <f>187.94</f>
        <v>187.94</v>
      </c>
      <c r="J6" s="99">
        <f t="shared" si="1"/>
        <v>-161.94999999999999</v>
      </c>
      <c r="K6" s="94"/>
      <c r="L6" s="94"/>
      <c r="M6" s="94"/>
      <c r="N6" s="94"/>
      <c r="O6" s="94"/>
    </row>
    <row r="7" spans="1:15" hidden="1" x14ac:dyDescent="0.2">
      <c r="A7" s="77" t="s">
        <v>182</v>
      </c>
      <c r="B7" s="77">
        <f>274472.95</f>
        <v>274472.95</v>
      </c>
      <c r="C7" s="77">
        <f>1631122.87</f>
        <v>1631122.87</v>
      </c>
      <c r="D7" s="77">
        <f>1664346.93</f>
        <v>1664346.93</v>
      </c>
      <c r="E7" s="77">
        <f t="shared" si="0"/>
        <v>98.003777974343379</v>
      </c>
      <c r="G7" s="98" t="s">
        <v>183</v>
      </c>
      <c r="H7" s="99">
        <f>B32</f>
        <v>25040.12</v>
      </c>
      <c r="I7" s="99">
        <f>24739.12</f>
        <v>24739.119999999999</v>
      </c>
      <c r="J7" s="99">
        <f t="shared" si="1"/>
        <v>301</v>
      </c>
      <c r="K7" s="94"/>
      <c r="L7" s="94"/>
      <c r="M7" s="94"/>
      <c r="N7" s="94"/>
      <c r="O7" s="94"/>
    </row>
    <row r="8" spans="1:15" hidden="1" x14ac:dyDescent="0.2">
      <c r="A8" s="77" t="s">
        <v>184</v>
      </c>
      <c r="B8" s="77">
        <v>0</v>
      </c>
      <c r="C8" s="77">
        <v>0</v>
      </c>
      <c r="D8" s="77">
        <v>1000</v>
      </c>
      <c r="E8" s="77">
        <f t="shared" si="0"/>
        <v>0</v>
      </c>
      <c r="G8" s="98" t="s">
        <v>185</v>
      </c>
      <c r="H8" s="99">
        <f>B33</f>
        <v>31767.15</v>
      </c>
      <c r="I8" s="99">
        <f>31765.65</f>
        <v>31765.65</v>
      </c>
      <c r="J8" s="99">
        <f t="shared" si="1"/>
        <v>1.5</v>
      </c>
      <c r="K8" s="102"/>
      <c r="L8" s="94"/>
      <c r="M8" s="94"/>
      <c r="N8" s="94"/>
      <c r="O8" s="94"/>
    </row>
    <row r="9" spans="1:15" hidden="1" x14ac:dyDescent="0.2">
      <c r="A9" s="77" t="s">
        <v>186</v>
      </c>
      <c r="B9" s="77">
        <f>55708.1</f>
        <v>55708.1</v>
      </c>
      <c r="C9" s="77">
        <f>444173.63</f>
        <v>444173.63</v>
      </c>
      <c r="D9" s="103">
        <v>473293.02</v>
      </c>
      <c r="E9" s="77">
        <f t="shared" si="0"/>
        <v>93.847492194159116</v>
      </c>
      <c r="G9" s="98" t="s">
        <v>187</v>
      </c>
      <c r="H9" s="99">
        <f>B36</f>
        <v>10908.13</v>
      </c>
      <c r="I9" s="99">
        <f>10908.13</f>
        <v>10908.13</v>
      </c>
      <c r="J9" s="99">
        <f t="shared" si="1"/>
        <v>0</v>
      </c>
      <c r="K9" s="94"/>
      <c r="L9" s="94"/>
      <c r="M9" s="94"/>
      <c r="N9" s="94"/>
      <c r="O9" s="94"/>
    </row>
    <row r="10" spans="1:15" hidden="1" x14ac:dyDescent="0.2">
      <c r="A10" s="77" t="s">
        <v>188</v>
      </c>
      <c r="B10" s="77">
        <f>6963.52</f>
        <v>6963.52</v>
      </c>
      <c r="C10" s="77">
        <f>55521.68</f>
        <v>55521.68</v>
      </c>
      <c r="D10" s="77">
        <v>59161.63</v>
      </c>
      <c r="E10" s="77">
        <f t="shared" si="0"/>
        <v>93.847448084172129</v>
      </c>
      <c r="G10" s="98" t="s">
        <v>189</v>
      </c>
      <c r="H10" s="99">
        <v>0</v>
      </c>
      <c r="I10" s="99">
        <v>0</v>
      </c>
      <c r="J10" s="99">
        <f t="shared" si="1"/>
        <v>0</v>
      </c>
      <c r="K10" s="94"/>
      <c r="L10" s="94"/>
      <c r="M10" s="94"/>
      <c r="N10" s="94"/>
      <c r="O10" s="94"/>
    </row>
    <row r="11" spans="1:15" x14ac:dyDescent="0.2">
      <c r="A11" s="100" t="s">
        <v>179</v>
      </c>
      <c r="B11" s="100">
        <f>267982.02</f>
        <v>267982.02</v>
      </c>
      <c r="C11" s="100">
        <f>2629522.15</f>
        <v>2629522.15</v>
      </c>
      <c r="D11" s="100">
        <f>5682892.66</f>
        <v>5682892.6600000001</v>
      </c>
      <c r="E11" s="100">
        <f t="shared" si="0"/>
        <v>46.27083964665276</v>
      </c>
      <c r="G11" s="104" t="s">
        <v>190</v>
      </c>
      <c r="H11" s="99">
        <f>B38</f>
        <v>4721.59</v>
      </c>
      <c r="I11" s="99">
        <f>17821.59</f>
        <v>17821.59</v>
      </c>
      <c r="J11" s="99">
        <f t="shared" si="1"/>
        <v>-13100</v>
      </c>
      <c r="K11" s="94"/>
      <c r="L11" s="94"/>
      <c r="M11" s="94"/>
      <c r="N11" s="94"/>
      <c r="O11" s="94"/>
    </row>
    <row r="12" spans="1:15" hidden="1" x14ac:dyDescent="0.2">
      <c r="A12" s="77" t="s">
        <v>191</v>
      </c>
      <c r="B12" s="77">
        <f>46225.45</f>
        <v>46225.45</v>
      </c>
      <c r="C12" s="77">
        <f>495782.78</f>
        <v>495782.78</v>
      </c>
      <c r="D12" s="77">
        <v>573300</v>
      </c>
      <c r="E12" s="77">
        <f t="shared" si="0"/>
        <v>86.47876853305425</v>
      </c>
      <c r="F12" s="81"/>
      <c r="G12" s="105" t="s">
        <v>192</v>
      </c>
      <c r="H12" s="106">
        <f>SUM(H4:H11)</f>
        <v>1413299.83</v>
      </c>
      <c r="I12" s="106">
        <f>SUM(I4:I11)</f>
        <v>1241125.27</v>
      </c>
      <c r="J12" s="106">
        <f>SUM(J4:J11)</f>
        <v>172174.56000000003</v>
      </c>
      <c r="K12" s="94"/>
      <c r="L12" s="94"/>
      <c r="M12" s="94"/>
      <c r="N12" s="94"/>
      <c r="O12" s="94"/>
    </row>
    <row r="13" spans="1:15" hidden="1" x14ac:dyDescent="0.2">
      <c r="A13" s="77" t="s">
        <v>193</v>
      </c>
      <c r="B13" s="77">
        <v>0</v>
      </c>
      <c r="C13" s="77">
        <f>188210.84</f>
        <v>188210.84</v>
      </c>
      <c r="D13" s="77">
        <v>350000</v>
      </c>
      <c r="E13" s="77">
        <f t="shared" si="0"/>
        <v>53.774525714285716</v>
      </c>
      <c r="G13" s="94" t="s">
        <v>194</v>
      </c>
      <c r="H13" s="94"/>
      <c r="I13" s="94"/>
      <c r="J13" s="94"/>
      <c r="K13" s="94"/>
      <c r="L13" s="94"/>
      <c r="M13" s="94"/>
      <c r="N13" s="94"/>
      <c r="O13" s="94"/>
    </row>
    <row r="14" spans="1:15" hidden="1" x14ac:dyDescent="0.2">
      <c r="A14" s="77" t="s">
        <v>195</v>
      </c>
      <c r="B14" s="77">
        <f>1817.44</f>
        <v>1817.44</v>
      </c>
      <c r="C14" s="77">
        <f>33583.05</f>
        <v>33583.050000000003</v>
      </c>
      <c r="D14" s="77">
        <v>145000</v>
      </c>
      <c r="E14" s="77">
        <f t="shared" si="0"/>
        <v>23.160724137931034</v>
      </c>
      <c r="G14" s="94"/>
      <c r="H14" s="94"/>
      <c r="I14" s="94"/>
      <c r="J14" s="94"/>
      <c r="K14" s="94"/>
      <c r="L14" s="94"/>
      <c r="M14" s="94"/>
      <c r="N14" s="94"/>
      <c r="O14" s="94"/>
    </row>
    <row r="15" spans="1:15" hidden="1" x14ac:dyDescent="0.2">
      <c r="A15" s="77" t="s">
        <v>196</v>
      </c>
      <c r="B15" s="77">
        <f>8143.2</f>
        <v>8143.2</v>
      </c>
      <c r="C15" s="77">
        <f>103047.69</f>
        <v>103047.69</v>
      </c>
      <c r="D15" s="77">
        <v>155000</v>
      </c>
      <c r="E15" s="77">
        <f t="shared" si="0"/>
        <v>66.482380645161285</v>
      </c>
      <c r="G15" s="94"/>
      <c r="H15" s="94"/>
      <c r="I15" s="94"/>
      <c r="J15" s="94"/>
      <c r="K15" s="94"/>
      <c r="L15" s="94"/>
      <c r="M15" s="94"/>
      <c r="N15" s="94"/>
      <c r="O15" s="94"/>
    </row>
    <row r="16" spans="1:15" hidden="1" x14ac:dyDescent="0.2">
      <c r="A16" s="77" t="s">
        <v>197</v>
      </c>
      <c r="B16" s="77">
        <f>1029</f>
        <v>1029</v>
      </c>
      <c r="C16" s="77">
        <f>17735.41</f>
        <v>17735.41</v>
      </c>
      <c r="D16" s="77">
        <f>24899.18</f>
        <v>24899.18</v>
      </c>
      <c r="E16" s="77">
        <f t="shared" si="0"/>
        <v>71.228891875154119</v>
      </c>
      <c r="G16" s="94"/>
      <c r="H16" s="94"/>
      <c r="I16" s="94"/>
      <c r="J16" s="94"/>
      <c r="K16" s="94"/>
      <c r="L16" s="94"/>
      <c r="M16" s="94"/>
      <c r="N16" s="94"/>
      <c r="O16" s="94"/>
    </row>
    <row r="17" spans="1:15" hidden="1" x14ac:dyDescent="0.2">
      <c r="A17" s="77" t="s">
        <v>198</v>
      </c>
      <c r="B17" s="77">
        <v>0</v>
      </c>
      <c r="C17" s="77">
        <f>2892.63</f>
        <v>2892.63</v>
      </c>
      <c r="D17" s="77">
        <v>119000</v>
      </c>
      <c r="E17" s="77">
        <f t="shared" si="0"/>
        <v>2.430781512605042</v>
      </c>
      <c r="G17" s="94"/>
      <c r="H17" s="94"/>
      <c r="I17" s="94"/>
      <c r="J17" s="94"/>
      <c r="K17" s="94"/>
      <c r="L17" s="94"/>
      <c r="M17" s="94"/>
      <c r="N17" s="94"/>
      <c r="O17" s="94"/>
    </row>
    <row r="18" spans="1:15" hidden="1" x14ac:dyDescent="0.2">
      <c r="A18" s="58" t="s">
        <v>199</v>
      </c>
      <c r="B18" s="77">
        <f>40566.27</f>
        <v>40566.269999999997</v>
      </c>
      <c r="C18" s="77">
        <f>212574.88</f>
        <v>212574.88</v>
      </c>
      <c r="D18" s="77">
        <v>390000</v>
      </c>
      <c r="E18" s="77">
        <f t="shared" si="0"/>
        <v>54.506379487179487</v>
      </c>
      <c r="G18" s="94"/>
      <c r="H18" s="94"/>
      <c r="I18" s="94"/>
      <c r="J18" s="94"/>
      <c r="K18" s="94"/>
      <c r="L18" s="94"/>
      <c r="M18" s="94"/>
      <c r="N18" s="94"/>
      <c r="O18" s="94"/>
    </row>
    <row r="19" spans="1:15" hidden="1" x14ac:dyDescent="0.2">
      <c r="A19" s="77" t="s">
        <v>200</v>
      </c>
      <c r="B19" s="77">
        <v>0</v>
      </c>
      <c r="C19" s="77">
        <f>142225</f>
        <v>142225</v>
      </c>
      <c r="D19" s="77">
        <v>397500</v>
      </c>
      <c r="E19" s="77">
        <f t="shared" si="0"/>
        <v>35.779874213836479</v>
      </c>
      <c r="G19" s="94"/>
      <c r="H19" s="94"/>
      <c r="I19" s="94"/>
      <c r="J19" s="94"/>
      <c r="K19" s="94"/>
      <c r="L19" s="94"/>
      <c r="M19" s="94"/>
      <c r="N19" s="94"/>
      <c r="O19" s="94"/>
    </row>
    <row r="20" spans="1:15" hidden="1" x14ac:dyDescent="0.2">
      <c r="A20" s="58" t="s">
        <v>201</v>
      </c>
      <c r="B20" s="77">
        <f>69557.2</f>
        <v>69557.2</v>
      </c>
      <c r="C20" s="77">
        <f>557924.17</f>
        <v>557924.17000000004</v>
      </c>
      <c r="D20" s="58">
        <v>689000</v>
      </c>
      <c r="E20" s="77">
        <f t="shared" si="0"/>
        <v>80.975931785195939</v>
      </c>
      <c r="G20" s="94"/>
      <c r="H20" s="94"/>
      <c r="I20" s="94"/>
      <c r="J20" s="94"/>
      <c r="K20" s="94"/>
      <c r="L20" s="94"/>
      <c r="M20" s="94"/>
      <c r="N20" s="94"/>
      <c r="O20" s="94"/>
    </row>
    <row r="21" spans="1:15" hidden="1" x14ac:dyDescent="0.2">
      <c r="A21" s="58" t="s">
        <v>202</v>
      </c>
      <c r="B21" s="77">
        <f>4062.8</f>
        <v>4062.8</v>
      </c>
      <c r="C21" s="77">
        <f>67130.61</f>
        <v>67130.61</v>
      </c>
      <c r="D21" s="58">
        <v>105600</v>
      </c>
      <c r="E21" s="77">
        <f t="shared" si="0"/>
        <v>63.570653409090902</v>
      </c>
      <c r="G21" s="94"/>
      <c r="H21" s="94"/>
      <c r="I21" s="94"/>
      <c r="J21" s="94"/>
      <c r="K21" s="94"/>
      <c r="L21" s="94"/>
      <c r="M21" s="94"/>
      <c r="N21" s="94"/>
      <c r="O21" s="94"/>
    </row>
    <row r="22" spans="1:15" hidden="1" x14ac:dyDescent="0.2">
      <c r="A22" s="58" t="s">
        <v>203</v>
      </c>
      <c r="B22" s="77">
        <f>9090.46</f>
        <v>9090.4599999999991</v>
      </c>
      <c r="C22" s="77">
        <f>15775.06</f>
        <v>15775.06</v>
      </c>
      <c r="D22" s="58">
        <v>34500</v>
      </c>
      <c r="E22" s="77">
        <f t="shared" si="0"/>
        <v>45.724811594202897</v>
      </c>
      <c r="G22" s="94"/>
      <c r="H22" s="94"/>
      <c r="I22" s="94"/>
      <c r="J22" s="94"/>
      <c r="K22" s="94"/>
      <c r="L22" s="94"/>
      <c r="M22" s="94"/>
      <c r="N22" s="94"/>
      <c r="O22" s="94"/>
    </row>
    <row r="23" spans="1:15" hidden="1" x14ac:dyDescent="0.2">
      <c r="A23" s="58" t="s">
        <v>204</v>
      </c>
      <c r="B23" s="77">
        <f>3970.43</f>
        <v>3970.43</v>
      </c>
      <c r="C23" s="77">
        <f>31774.81</f>
        <v>31774.81</v>
      </c>
      <c r="D23" s="58">
        <v>90000</v>
      </c>
      <c r="E23" s="77">
        <f t="shared" si="0"/>
        <v>35.305344444444451</v>
      </c>
      <c r="G23" s="94"/>
      <c r="H23" s="94"/>
      <c r="I23" s="94"/>
      <c r="J23" s="94"/>
      <c r="K23" s="94"/>
      <c r="L23" s="94"/>
      <c r="M23" s="94"/>
      <c r="N23" s="94"/>
      <c r="O23" s="94"/>
    </row>
    <row r="24" spans="1:15" hidden="1" x14ac:dyDescent="0.2">
      <c r="A24" s="58" t="s">
        <v>205</v>
      </c>
      <c r="B24" s="77">
        <f>929.16</f>
        <v>929.16</v>
      </c>
      <c r="C24" s="77">
        <f>8953.31</f>
        <v>8953.31</v>
      </c>
      <c r="D24" s="58">
        <v>181480.28</v>
      </c>
      <c r="E24" s="77">
        <f t="shared" si="0"/>
        <v>4.9334891923243669</v>
      </c>
      <c r="G24" s="94"/>
      <c r="H24" s="94"/>
      <c r="I24" s="94"/>
      <c r="J24" s="94"/>
      <c r="K24" s="94"/>
      <c r="L24" s="94"/>
      <c r="M24" s="94"/>
      <c r="N24" s="94"/>
      <c r="O24" s="94"/>
    </row>
    <row r="25" spans="1:15" hidden="1" x14ac:dyDescent="0.2">
      <c r="A25" s="58" t="s">
        <v>206</v>
      </c>
      <c r="B25" s="77">
        <f>10306.41</f>
        <v>10306.41</v>
      </c>
      <c r="C25" s="77">
        <f>118705.15</f>
        <v>118705.15</v>
      </c>
      <c r="D25" s="58">
        <v>220000</v>
      </c>
      <c r="E25" s="77">
        <f t="shared" si="0"/>
        <v>53.956886363636357</v>
      </c>
      <c r="G25" s="94"/>
      <c r="H25" s="94"/>
      <c r="I25" s="94"/>
      <c r="J25" s="94"/>
      <c r="K25" s="94"/>
      <c r="L25" s="94"/>
      <c r="M25" s="94"/>
      <c r="N25" s="94"/>
      <c r="O25" s="94"/>
    </row>
    <row r="26" spans="1:15" hidden="1" x14ac:dyDescent="0.2">
      <c r="A26" s="58" t="s">
        <v>207</v>
      </c>
      <c r="B26" s="77">
        <f>1577.94</f>
        <v>1577.94</v>
      </c>
      <c r="C26" s="77">
        <f>42900.29</f>
        <v>42900.29</v>
      </c>
      <c r="D26" s="58">
        <v>175500</v>
      </c>
      <c r="E26" s="77">
        <f t="shared" si="0"/>
        <v>24.444609686609688</v>
      </c>
      <c r="G26" s="94"/>
      <c r="H26" s="94"/>
      <c r="I26" s="94"/>
      <c r="J26" s="94"/>
      <c r="K26" s="94"/>
      <c r="L26" s="94"/>
      <c r="M26" s="94"/>
      <c r="N26" s="94"/>
      <c r="O26" s="94"/>
    </row>
    <row r="27" spans="1:15" hidden="1" x14ac:dyDescent="0.2">
      <c r="A27" s="58" t="s">
        <v>208</v>
      </c>
      <c r="B27" s="77">
        <f>1333.46</f>
        <v>1333.46</v>
      </c>
      <c r="C27" s="77">
        <f>71596.18</f>
        <v>71596.179999999993</v>
      </c>
      <c r="D27" s="58">
        <v>115500</v>
      </c>
      <c r="E27" s="77">
        <f t="shared" si="0"/>
        <v>61.988034632034626</v>
      </c>
    </row>
    <row r="28" spans="1:15" hidden="1" x14ac:dyDescent="0.2">
      <c r="A28" s="58" t="s">
        <v>209</v>
      </c>
      <c r="B28" s="58">
        <f>10800</f>
        <v>10800</v>
      </c>
      <c r="C28" s="58">
        <f>110853.45</f>
        <v>110853.45</v>
      </c>
      <c r="D28" s="58">
        <v>169500</v>
      </c>
      <c r="E28" s="77">
        <f t="shared" si="0"/>
        <v>65.400265486725658</v>
      </c>
      <c r="G28" s="87"/>
    </row>
    <row r="29" spans="1:15" hidden="1" x14ac:dyDescent="0.2">
      <c r="A29" s="58" t="s">
        <v>210</v>
      </c>
      <c r="B29" s="58">
        <v>0</v>
      </c>
      <c r="C29" s="58">
        <f>9715.56</f>
        <v>9715.56</v>
      </c>
      <c r="D29" s="58">
        <v>86500</v>
      </c>
      <c r="E29" s="77">
        <f t="shared" si="0"/>
        <v>11.2318612716763</v>
      </c>
      <c r="F29" s="87"/>
      <c r="G29" s="87"/>
      <c r="H29" s="87"/>
    </row>
    <row r="30" spans="1:15" hidden="1" x14ac:dyDescent="0.2">
      <c r="A30" s="58" t="s">
        <v>211</v>
      </c>
      <c r="B30" s="58">
        <f>B11-SUM(B12:B29)</f>
        <v>58572.800000000047</v>
      </c>
      <c r="C30" s="58">
        <f>C11-SUM(C12:C29)</f>
        <v>398141.27999999933</v>
      </c>
      <c r="D30" s="58">
        <f>D11-SUM(D12:D29)</f>
        <v>1660613.2000000007</v>
      </c>
      <c r="E30" s="77">
        <f t="shared" si="0"/>
        <v>23.975557944499005</v>
      </c>
      <c r="F30" s="92"/>
      <c r="G30" s="92"/>
      <c r="H30" s="92"/>
      <c r="J30" s="107"/>
      <c r="K30" s="107"/>
      <c r="L30" s="107"/>
    </row>
    <row r="31" spans="1:15" x14ac:dyDescent="0.2">
      <c r="A31" s="100" t="s">
        <v>181</v>
      </c>
      <c r="B31" s="100">
        <f>25.99</f>
        <v>25.99</v>
      </c>
      <c r="C31" s="100">
        <f>37118.76</f>
        <v>37118.76</v>
      </c>
      <c r="D31" s="100">
        <v>51000</v>
      </c>
      <c r="E31" s="100">
        <f t="shared" si="0"/>
        <v>72.781882352941182</v>
      </c>
      <c r="F31" s="87"/>
      <c r="G31" s="87"/>
      <c r="H31" s="87"/>
      <c r="K31" s="81"/>
    </row>
    <row r="32" spans="1:15" x14ac:dyDescent="0.2">
      <c r="A32" s="100" t="s">
        <v>183</v>
      </c>
      <c r="B32" s="100">
        <f>25040.12</f>
        <v>25040.12</v>
      </c>
      <c r="C32" s="100">
        <f>308599.5</f>
        <v>308599.5</v>
      </c>
      <c r="D32" s="100">
        <f>415500</f>
        <v>415500</v>
      </c>
      <c r="E32" s="100">
        <f t="shared" si="0"/>
        <v>74.271841155234654</v>
      </c>
    </row>
    <row r="33" spans="1:8" x14ac:dyDescent="0.2">
      <c r="A33" s="100" t="s">
        <v>185</v>
      </c>
      <c r="B33" s="100">
        <f>SUM(B34:B35)</f>
        <v>31767.15</v>
      </c>
      <c r="C33" s="100">
        <f>SUM(C34:C35)</f>
        <v>205637.22</v>
      </c>
      <c r="D33" s="100">
        <f>SUM(D34:D35)</f>
        <v>230000</v>
      </c>
      <c r="E33" s="100">
        <f t="shared" si="0"/>
        <v>89.407486956521737</v>
      </c>
    </row>
    <row r="34" spans="1:8" hidden="1" x14ac:dyDescent="0.2">
      <c r="A34" s="77" t="s">
        <v>212</v>
      </c>
      <c r="B34" s="77">
        <f>883.09</f>
        <v>883.09</v>
      </c>
      <c r="C34" s="77">
        <f>18441.59</f>
        <v>18441.59</v>
      </c>
      <c r="D34" s="77">
        <v>20000</v>
      </c>
      <c r="E34" s="77">
        <f t="shared" si="0"/>
        <v>92.207950000000011</v>
      </c>
    </row>
    <row r="35" spans="1:8" hidden="1" x14ac:dyDescent="0.2">
      <c r="A35" s="77" t="s">
        <v>213</v>
      </c>
      <c r="B35" s="77">
        <f>30884.06</f>
        <v>30884.06</v>
      </c>
      <c r="C35" s="77">
        <f>187195.63</f>
        <v>187195.63</v>
      </c>
      <c r="D35" s="77">
        <v>210000</v>
      </c>
      <c r="E35" s="77">
        <f t="shared" si="0"/>
        <v>89.140776190476188</v>
      </c>
    </row>
    <row r="36" spans="1:8" x14ac:dyDescent="0.2">
      <c r="A36" s="100" t="s">
        <v>187</v>
      </c>
      <c r="B36" s="100">
        <f>10908.13</f>
        <v>10908.13</v>
      </c>
      <c r="C36" s="100">
        <f>97939.82</f>
        <v>97939.82</v>
      </c>
      <c r="D36" s="100">
        <v>175442.8</v>
      </c>
      <c r="E36" s="100">
        <f t="shared" si="0"/>
        <v>55.824359848338048</v>
      </c>
    </row>
    <row r="37" spans="1:8" x14ac:dyDescent="0.2">
      <c r="A37" s="100" t="s">
        <v>189</v>
      </c>
      <c r="B37" s="100">
        <v>0</v>
      </c>
      <c r="C37" s="100">
        <v>0</v>
      </c>
      <c r="D37" s="100">
        <v>0</v>
      </c>
      <c r="E37" s="100">
        <v>0</v>
      </c>
    </row>
    <row r="38" spans="1:8" x14ac:dyDescent="0.2">
      <c r="A38" s="104" t="s">
        <v>190</v>
      </c>
      <c r="B38" s="98">
        <f>SUM(B39:B44)</f>
        <v>4721.59</v>
      </c>
      <c r="C38" s="98">
        <f>SUM(C39:C44)</f>
        <v>207270.09</v>
      </c>
      <c r="D38" s="98">
        <f>SUM(D39:D44)</f>
        <v>2650000</v>
      </c>
      <c r="E38" s="98">
        <f>C38/D38*100</f>
        <v>7.8215128301886789</v>
      </c>
    </row>
    <row r="39" spans="1:8" hidden="1" x14ac:dyDescent="0.2">
      <c r="A39" s="58" t="s">
        <v>214</v>
      </c>
      <c r="B39" s="90">
        <v>0</v>
      </c>
      <c r="C39" s="90">
        <v>0</v>
      </c>
      <c r="D39" s="90">
        <v>590000</v>
      </c>
      <c r="E39" s="77">
        <f>C39/D39*100</f>
        <v>0</v>
      </c>
    </row>
    <row r="40" spans="1:8" hidden="1" x14ac:dyDescent="0.2">
      <c r="A40" s="58" t="s">
        <v>215</v>
      </c>
      <c r="B40" s="90"/>
      <c r="C40" s="90">
        <f>17456</f>
        <v>17456</v>
      </c>
      <c r="D40" s="90">
        <v>1340000</v>
      </c>
      <c r="E40" s="77">
        <f>C40/D40*100</f>
        <v>1.3026865671641792</v>
      </c>
    </row>
    <row r="41" spans="1:8" hidden="1" x14ac:dyDescent="0.2">
      <c r="A41" s="58" t="s">
        <v>216</v>
      </c>
      <c r="B41" s="90"/>
      <c r="C41" s="90">
        <f>13100</f>
        <v>13100</v>
      </c>
      <c r="D41" s="90">
        <v>100000</v>
      </c>
      <c r="E41" s="77">
        <f>C41/D41*100</f>
        <v>13.100000000000001</v>
      </c>
    </row>
    <row r="42" spans="1:8" hidden="1" x14ac:dyDescent="0.2">
      <c r="A42" s="58" t="s">
        <v>217</v>
      </c>
      <c r="B42" s="58">
        <f>4721.59</f>
        <v>4721.59</v>
      </c>
      <c r="C42" s="58">
        <f>176714.09</f>
        <v>176714.09</v>
      </c>
      <c r="D42" s="77">
        <f>620000</f>
        <v>620000</v>
      </c>
      <c r="E42" s="77">
        <f>C42/D42*100</f>
        <v>28.502272580645162</v>
      </c>
    </row>
    <row r="43" spans="1:8" hidden="1" x14ac:dyDescent="0.2">
      <c r="A43" s="58" t="s">
        <v>218</v>
      </c>
      <c r="B43" s="58">
        <v>0</v>
      </c>
      <c r="C43" s="58">
        <v>0</v>
      </c>
      <c r="D43" s="58">
        <v>0</v>
      </c>
      <c r="E43" s="77">
        <v>0</v>
      </c>
    </row>
    <row r="44" spans="1:8" hidden="1" x14ac:dyDescent="0.2">
      <c r="A44" s="58" t="s">
        <v>219</v>
      </c>
      <c r="B44" s="58">
        <v>0</v>
      </c>
      <c r="C44" s="58">
        <v>0</v>
      </c>
      <c r="D44" s="58">
        <v>0</v>
      </c>
      <c r="E44" s="77">
        <v>0</v>
      </c>
    </row>
    <row r="45" spans="1:8" x14ac:dyDescent="0.2">
      <c r="A45" s="60" t="s">
        <v>220</v>
      </c>
      <c r="B45" s="62">
        <f>B4+B38</f>
        <v>1413299.83</v>
      </c>
      <c r="C45" s="62">
        <f>C4+C38</f>
        <v>11242694.560000001</v>
      </c>
      <c r="D45" s="62">
        <f>D4+D38</f>
        <v>17105999.800000001</v>
      </c>
      <c r="E45" s="62">
        <f>C45/D45*100</f>
        <v>65.723691637129562</v>
      </c>
    </row>
    <row r="46" spans="1:8" x14ac:dyDescent="0.2">
      <c r="A46" s="58" t="str">
        <f>Receitas!A44</f>
        <v>FONTE: BR CONSELHOS/CONTABILIDADE</v>
      </c>
      <c r="B46" s="58"/>
      <c r="C46" s="58"/>
      <c r="D46" s="58"/>
      <c r="E46" s="58"/>
      <c r="G46" s="92"/>
      <c r="H46" s="81"/>
    </row>
    <row r="47" spans="1:8" ht="19.5" customHeight="1" x14ac:dyDescent="0.2"/>
  </sheetData>
  <mergeCells count="9">
    <mergeCell ref="A1:E1"/>
    <mergeCell ref="G1:G3"/>
    <mergeCell ref="H1:J1"/>
    <mergeCell ref="A2:A4"/>
    <mergeCell ref="B2:B3"/>
    <mergeCell ref="C2:C3"/>
    <mergeCell ref="D2:D3"/>
    <mergeCell ref="E2:E3"/>
    <mergeCell ref="H2:J2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K17"/>
  <sheetViews>
    <sheetView zoomScale="160" zoomScaleNormal="160" workbookViewId="0"/>
  </sheetViews>
  <sheetFormatPr defaultRowHeight="12.75" x14ac:dyDescent="0.2"/>
  <cols>
    <col min="1" max="1" width="23.5703125" customWidth="1"/>
    <col min="2" max="2" width="5.7109375" customWidth="1"/>
    <col min="3" max="3" width="13.42578125" customWidth="1"/>
    <col min="4" max="4" width="1.28515625" customWidth="1"/>
    <col min="5" max="5" width="23.5703125" customWidth="1"/>
    <col min="6" max="6" width="6.140625" customWidth="1"/>
    <col min="7" max="7" width="11.7109375" customWidth="1"/>
    <col min="8" max="8" width="8.7109375" customWidth="1"/>
    <col min="9" max="9" width="14.5703125" customWidth="1"/>
    <col min="10" max="10" width="8.7109375" customWidth="1"/>
    <col min="11" max="11" width="10.42578125" customWidth="1"/>
    <col min="12" max="1025" width="8.7109375" customWidth="1"/>
  </cols>
  <sheetData>
    <row r="1" spans="1:11" x14ac:dyDescent="0.2">
      <c r="A1" s="212" t="s">
        <v>221</v>
      </c>
      <c r="B1" s="212"/>
      <c r="C1" s="212"/>
      <c r="D1" s="212"/>
      <c r="E1" s="212"/>
      <c r="F1" s="212"/>
      <c r="G1" s="212"/>
    </row>
    <row r="2" spans="1:11" x14ac:dyDescent="0.2">
      <c r="A2" s="213" t="s">
        <v>222</v>
      </c>
      <c r="B2" s="213"/>
      <c r="C2" s="213"/>
      <c r="D2" s="213"/>
      <c r="E2" s="213"/>
      <c r="F2" s="213"/>
      <c r="G2" s="213"/>
    </row>
    <row r="3" spans="1:11" x14ac:dyDescent="0.2">
      <c r="A3" s="77"/>
      <c r="B3" s="77"/>
      <c r="C3" s="77"/>
      <c r="D3" s="77"/>
      <c r="E3" s="77"/>
      <c r="F3" s="77"/>
      <c r="G3" s="77"/>
    </row>
    <row r="4" spans="1:11" x14ac:dyDescent="0.2">
      <c r="A4" s="108" t="s">
        <v>223</v>
      </c>
      <c r="B4" s="108"/>
      <c r="C4" s="108"/>
      <c r="D4" s="77"/>
      <c r="E4" s="108" t="s">
        <v>224</v>
      </c>
      <c r="F4" s="108"/>
      <c r="G4" s="108"/>
    </row>
    <row r="5" spans="1:11" x14ac:dyDescent="0.2">
      <c r="A5" s="82" t="s">
        <v>225</v>
      </c>
      <c r="B5" s="82"/>
      <c r="C5" s="82">
        <f>Receitas!B5</f>
        <v>406667.17</v>
      </c>
      <c r="D5" s="77"/>
      <c r="E5" s="96" t="s">
        <v>226</v>
      </c>
      <c r="F5" s="82"/>
      <c r="G5" s="96">
        <f>SUM(G6:G7)</f>
        <v>1223303.6800000002</v>
      </c>
    </row>
    <row r="6" spans="1:11" x14ac:dyDescent="0.2">
      <c r="A6" s="109" t="s">
        <v>227</v>
      </c>
      <c r="B6" s="109"/>
      <c r="C6" s="109">
        <f>Receitas!B6</f>
        <v>302485.61</v>
      </c>
      <c r="D6" s="77"/>
      <c r="E6" s="109" t="s">
        <v>228</v>
      </c>
      <c r="F6" s="109"/>
      <c r="G6" s="109">
        <f>735710.26+183038.79</f>
        <v>918749.05</v>
      </c>
    </row>
    <row r="7" spans="1:11" x14ac:dyDescent="0.2">
      <c r="A7" s="82" t="s">
        <v>229</v>
      </c>
      <c r="B7" s="82"/>
      <c r="C7" s="82">
        <f>Receitas!B11</f>
        <v>25759.979999999996</v>
      </c>
      <c r="D7" s="77"/>
      <c r="E7" s="82" t="s">
        <v>230</v>
      </c>
      <c r="F7" s="82"/>
      <c r="G7" s="82">
        <f>304554.63</f>
        <v>304554.63</v>
      </c>
    </row>
    <row r="8" spans="1:11" x14ac:dyDescent="0.2">
      <c r="A8" s="109" t="s">
        <v>231</v>
      </c>
      <c r="B8" s="109"/>
      <c r="C8" s="109">
        <f>Receitas!B18</f>
        <v>59211.56</v>
      </c>
      <c r="D8" s="77"/>
      <c r="E8" s="108" t="s">
        <v>232</v>
      </c>
      <c r="F8" s="109"/>
      <c r="G8" s="108">
        <f>G9</f>
        <v>17821.59</v>
      </c>
    </row>
    <row r="9" spans="1:11" x14ac:dyDescent="0.2">
      <c r="A9" s="82" t="s">
        <v>233</v>
      </c>
      <c r="B9" s="82"/>
      <c r="C9" s="82">
        <f>Receitas!B26</f>
        <v>0</v>
      </c>
      <c r="D9" s="77"/>
      <c r="E9" s="82" t="s">
        <v>234</v>
      </c>
      <c r="F9" s="82"/>
      <c r="G9" s="82">
        <f>17821.59</f>
        <v>17821.59</v>
      </c>
    </row>
    <row r="10" spans="1:11" x14ac:dyDescent="0.2">
      <c r="A10" s="109" t="s">
        <v>235</v>
      </c>
      <c r="B10" s="109"/>
      <c r="C10" s="109">
        <f>Receitas!B29+Receitas!B32+Receitas!B35</f>
        <v>68584.84</v>
      </c>
      <c r="D10" s="77"/>
      <c r="E10" s="109"/>
      <c r="F10" s="109"/>
      <c r="G10" s="109"/>
    </row>
    <row r="11" spans="1:11" x14ac:dyDescent="0.2">
      <c r="A11" s="82" t="s">
        <v>236</v>
      </c>
      <c r="B11" s="82"/>
      <c r="C11" s="82">
        <f>Receitas!B38</f>
        <v>53294.82</v>
      </c>
      <c r="D11" s="77"/>
      <c r="E11" s="82"/>
      <c r="F11" s="82"/>
      <c r="G11" s="82"/>
    </row>
    <row r="12" spans="1:11" x14ac:dyDescent="0.2">
      <c r="A12" s="108" t="s">
        <v>237</v>
      </c>
      <c r="B12" s="108"/>
      <c r="C12" s="108">
        <f>SUM(C5:C11)</f>
        <v>916003.98</v>
      </c>
      <c r="D12" s="77"/>
      <c r="E12" s="108" t="s">
        <v>238</v>
      </c>
      <c r="F12" s="108"/>
      <c r="G12" s="108">
        <f>G5+G8</f>
        <v>1241125.2700000003</v>
      </c>
      <c r="I12" s="81"/>
    </row>
    <row r="13" spans="1:11" x14ac:dyDescent="0.2">
      <c r="A13" s="77"/>
      <c r="B13" s="77"/>
      <c r="C13" s="77"/>
      <c r="D13" s="77"/>
      <c r="E13" s="77"/>
      <c r="F13" s="77"/>
      <c r="G13" s="77"/>
    </row>
    <row r="14" spans="1:11" x14ac:dyDescent="0.2">
      <c r="A14" s="82" t="s">
        <v>239</v>
      </c>
      <c r="B14" s="82"/>
      <c r="C14" s="82">
        <f>245843.8</f>
        <v>245843.8</v>
      </c>
      <c r="D14" s="77"/>
      <c r="E14" s="82" t="s">
        <v>240</v>
      </c>
      <c r="F14" s="82"/>
      <c r="G14" s="82">
        <f>87526.15</f>
        <v>87526.15</v>
      </c>
    </row>
    <row r="15" spans="1:11" x14ac:dyDescent="0.2">
      <c r="A15" s="109" t="s">
        <v>241</v>
      </c>
      <c r="B15" s="109"/>
      <c r="C15" s="109">
        <f>9608297.12</f>
        <v>9608297.1199999992</v>
      </c>
      <c r="D15" s="77"/>
      <c r="E15" s="109" t="s">
        <v>242</v>
      </c>
      <c r="F15" s="109"/>
      <c r="G15" s="109">
        <f>C12+C14+C15-G5-G8-G14</f>
        <v>9441493.4799999986</v>
      </c>
      <c r="K15" s="81"/>
    </row>
    <row r="16" spans="1:11" x14ac:dyDescent="0.2">
      <c r="A16" s="82"/>
      <c r="B16" s="82"/>
      <c r="C16" s="82"/>
      <c r="D16" s="77"/>
      <c r="E16" s="82"/>
      <c r="F16" s="82"/>
      <c r="G16" s="82"/>
    </row>
    <row r="17" spans="1:7" x14ac:dyDescent="0.2">
      <c r="A17" s="108" t="s">
        <v>106</v>
      </c>
      <c r="B17" s="108"/>
      <c r="C17" s="108">
        <f>C12+C14+C15</f>
        <v>10770144.899999999</v>
      </c>
      <c r="D17" s="77"/>
      <c r="E17" s="108" t="s">
        <v>106</v>
      </c>
      <c r="F17" s="108"/>
      <c r="G17" s="108">
        <f>G12+G14+G15</f>
        <v>10770144.899999999</v>
      </c>
    </row>
  </sheetData>
  <mergeCells count="2">
    <mergeCell ref="A1:G1"/>
    <mergeCell ref="A2:G2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1"/>
  <sheetViews>
    <sheetView zoomScale="160" zoomScaleNormal="160" workbookViewId="0"/>
  </sheetViews>
  <sheetFormatPr defaultRowHeight="12.75" x14ac:dyDescent="0.2"/>
  <cols>
    <col min="1" max="1" width="8.7109375" customWidth="1"/>
    <col min="2" max="3" width="12.5703125" customWidth="1"/>
    <col min="4" max="4" width="11" customWidth="1"/>
    <col min="5" max="1025" width="8.7109375" customWidth="1"/>
  </cols>
  <sheetData>
    <row r="1" spans="1:5" x14ac:dyDescent="0.2">
      <c r="A1" s="214" t="s">
        <v>243</v>
      </c>
      <c r="B1" s="214"/>
      <c r="C1" s="214"/>
      <c r="D1" s="214"/>
      <c r="E1" s="214"/>
    </row>
    <row r="2" spans="1:5" ht="16.5" customHeight="1" x14ac:dyDescent="0.2">
      <c r="A2" s="215" t="s">
        <v>244</v>
      </c>
      <c r="B2" s="215" t="s">
        <v>78</v>
      </c>
      <c r="C2" s="215"/>
      <c r="D2" s="216" t="s">
        <v>245</v>
      </c>
      <c r="E2" s="215" t="s">
        <v>246</v>
      </c>
    </row>
    <row r="3" spans="1:5" ht="16.5" customHeight="1" x14ac:dyDescent="0.2">
      <c r="A3" s="215"/>
      <c r="B3" s="110" t="s">
        <v>247</v>
      </c>
      <c r="C3" s="111" t="s">
        <v>248</v>
      </c>
      <c r="D3" s="216"/>
      <c r="E3" s="215"/>
    </row>
    <row r="4" spans="1:5" x14ac:dyDescent="0.2">
      <c r="A4" s="58" t="s">
        <v>249</v>
      </c>
      <c r="B4" s="112">
        <f>B11-B10-B9-B8-B7-B6-B5</f>
        <v>704268.26</v>
      </c>
      <c r="C4" s="112">
        <f>C11-C10-C9-C8-C7-C6-C5</f>
        <v>958351.8200000003</v>
      </c>
      <c r="D4" s="58">
        <f t="shared" ref="D4:D11" si="0">B4/C4</f>
        <v>0.73487444308291683</v>
      </c>
      <c r="E4" s="58">
        <f t="shared" ref="E4:E11" si="1">B4/C4*100-100</f>
        <v>-26.512555691708314</v>
      </c>
    </row>
    <row r="5" spans="1:5" x14ac:dyDescent="0.2">
      <c r="A5" s="58" t="s">
        <v>86</v>
      </c>
      <c r="B5" s="113">
        <f>122713.02</f>
        <v>122713.02</v>
      </c>
      <c r="C5" s="112">
        <f>101788.61+2463.87</f>
        <v>104252.48</v>
      </c>
      <c r="D5" s="58">
        <f t="shared" si="0"/>
        <v>1.1770753079447127</v>
      </c>
      <c r="E5" s="58">
        <f t="shared" si="1"/>
        <v>17.707530794471268</v>
      </c>
    </row>
    <row r="6" spans="1:5" x14ac:dyDescent="0.2">
      <c r="A6" s="58" t="s">
        <v>250</v>
      </c>
      <c r="B6" s="113">
        <f>15920.71</f>
        <v>15920.71</v>
      </c>
      <c r="C6" s="112">
        <f>56581.41+1512</f>
        <v>58093.41</v>
      </c>
      <c r="D6" s="58">
        <f t="shared" si="0"/>
        <v>0.27405363190076115</v>
      </c>
      <c r="E6" s="58">
        <f t="shared" si="1"/>
        <v>-72.594636809923884</v>
      </c>
    </row>
    <row r="7" spans="1:5" x14ac:dyDescent="0.2">
      <c r="A7" s="58" t="s">
        <v>90</v>
      </c>
      <c r="B7" s="113">
        <f>27165.31</f>
        <v>27165.31</v>
      </c>
      <c r="C7" s="112">
        <f>32724.78</f>
        <v>32724.78</v>
      </c>
      <c r="D7" s="58">
        <f t="shared" si="0"/>
        <v>0.83011436593309418</v>
      </c>
      <c r="E7" s="58">
        <f t="shared" si="1"/>
        <v>-16.988563406690588</v>
      </c>
    </row>
    <row r="8" spans="1:5" x14ac:dyDescent="0.2">
      <c r="A8" s="58" t="s">
        <v>92</v>
      </c>
      <c r="B8" s="113">
        <f>19539.93</f>
        <v>19539.93</v>
      </c>
      <c r="C8" s="58">
        <f>24860.94</f>
        <v>24860.94</v>
      </c>
      <c r="D8" s="58">
        <f t="shared" si="0"/>
        <v>0.78596907437932761</v>
      </c>
      <c r="E8" s="58">
        <f t="shared" si="1"/>
        <v>-21.403092562067243</v>
      </c>
    </row>
    <row r="9" spans="1:5" x14ac:dyDescent="0.2">
      <c r="A9" s="58" t="s">
        <v>94</v>
      </c>
      <c r="B9" s="113">
        <f>20953.35</f>
        <v>20953.349999999999</v>
      </c>
      <c r="C9" s="114">
        <f>39237.86</f>
        <v>39237.86</v>
      </c>
      <c r="D9" s="58">
        <f t="shared" si="0"/>
        <v>0.53400848058482286</v>
      </c>
      <c r="E9" s="58">
        <f t="shared" si="1"/>
        <v>-46.599151941517711</v>
      </c>
    </row>
    <row r="10" spans="1:5" x14ac:dyDescent="0.2">
      <c r="A10" s="58" t="s">
        <v>96</v>
      </c>
      <c r="B10" s="113">
        <f>5443.4</f>
        <v>5443.4</v>
      </c>
      <c r="C10" s="114">
        <f>23603.98</f>
        <v>23603.98</v>
      </c>
      <c r="D10" s="58">
        <f t="shared" si="0"/>
        <v>0.23061365074872966</v>
      </c>
      <c r="E10" s="58">
        <f t="shared" si="1"/>
        <v>-76.938634925127033</v>
      </c>
    </row>
    <row r="11" spans="1:5" x14ac:dyDescent="0.2">
      <c r="A11" s="115" t="s">
        <v>107</v>
      </c>
      <c r="B11" s="116">
        <f>Receitas!B43</f>
        <v>916003.9800000001</v>
      </c>
      <c r="C11" s="117">
        <f>'Balanço Financeiro'!G12</f>
        <v>1241125.2700000003</v>
      </c>
      <c r="D11" s="115">
        <f t="shared" si="0"/>
        <v>0.7380431308114449</v>
      </c>
      <c r="E11" s="115">
        <f t="shared" si="1"/>
        <v>-26.195686918855515</v>
      </c>
    </row>
  </sheetData>
  <mergeCells count="5">
    <mergeCell ref="A1:E1"/>
    <mergeCell ref="A2:A3"/>
    <mergeCell ref="B2:C2"/>
    <mergeCell ref="D2:D3"/>
    <mergeCell ref="E2:E3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3"/>
  <sheetViews>
    <sheetView topLeftCell="A39" zoomScale="160" zoomScaleNormal="160" workbookViewId="0">
      <selection activeCell="C52" sqref="C52"/>
    </sheetView>
  </sheetViews>
  <sheetFormatPr defaultRowHeight="12.75" x14ac:dyDescent="0.2"/>
  <cols>
    <col min="1" max="1" width="8.7109375" customWidth="1"/>
    <col min="2" max="2" width="12.5703125" customWidth="1"/>
    <col min="3" max="3" width="13.140625" customWidth="1"/>
    <col min="4" max="4" width="10" customWidth="1"/>
    <col min="5" max="7" width="8.7109375" customWidth="1"/>
    <col min="8" max="8" width="10.7109375" customWidth="1"/>
    <col min="9" max="9" width="15.28515625" customWidth="1"/>
    <col min="10" max="14" width="8.7109375" customWidth="1"/>
    <col min="15" max="15" width="13.85546875" customWidth="1"/>
    <col min="16" max="1025" width="8.7109375" customWidth="1"/>
  </cols>
  <sheetData>
    <row r="1" spans="1:15" ht="12.75" customHeight="1" x14ac:dyDescent="0.2">
      <c r="A1" s="217" t="s">
        <v>251</v>
      </c>
      <c r="B1" s="218">
        <v>2017</v>
      </c>
      <c r="C1" s="217">
        <v>2018</v>
      </c>
      <c r="D1" s="217" t="s">
        <v>252</v>
      </c>
      <c r="E1" s="118"/>
      <c r="N1" s="119" t="s">
        <v>253</v>
      </c>
      <c r="O1" s="119" t="s">
        <v>254</v>
      </c>
    </row>
    <row r="2" spans="1:15" x14ac:dyDescent="0.2">
      <c r="A2" s="217"/>
      <c r="B2" s="218"/>
      <c r="C2" s="217"/>
      <c r="D2" s="217"/>
      <c r="E2" s="118"/>
      <c r="N2" s="120">
        <v>2013</v>
      </c>
      <c r="O2" s="121">
        <f>550865.89</f>
        <v>550865.89</v>
      </c>
    </row>
    <row r="3" spans="1:15" x14ac:dyDescent="0.2">
      <c r="A3" s="118" t="s">
        <v>255</v>
      </c>
      <c r="B3" s="122">
        <v>32429.13</v>
      </c>
      <c r="C3" s="122">
        <v>40355.589999999997</v>
      </c>
      <c r="D3" s="121">
        <f t="shared" ref="D3:D15" si="0">C3/B3*100-100</f>
        <v>24.442407181444565</v>
      </c>
      <c r="E3" s="118"/>
      <c r="N3" s="120">
        <v>2014</v>
      </c>
      <c r="O3" s="121">
        <f>764874.09</f>
        <v>764874.09</v>
      </c>
    </row>
    <row r="4" spans="1:15" x14ac:dyDescent="0.2">
      <c r="A4" s="118" t="s">
        <v>256</v>
      </c>
      <c r="B4" s="122">
        <v>38375.599999999999</v>
      </c>
      <c r="C4" s="122">
        <v>44414.12</v>
      </c>
      <c r="D4" s="121">
        <f t="shared" si="0"/>
        <v>15.735310978851146</v>
      </c>
      <c r="E4" s="118"/>
      <c r="N4" s="120">
        <v>2015</v>
      </c>
      <c r="O4" s="121">
        <f>685895.36</f>
        <v>685895.36</v>
      </c>
    </row>
    <row r="5" spans="1:15" x14ac:dyDescent="0.2">
      <c r="A5" s="118" t="s">
        <v>257</v>
      </c>
      <c r="B5" s="122">
        <v>42342.93</v>
      </c>
      <c r="C5" s="122">
        <v>45465.760000000002</v>
      </c>
      <c r="D5" s="121">
        <f t="shared" si="0"/>
        <v>7.3750918984586207</v>
      </c>
      <c r="E5" s="118"/>
      <c r="N5" s="120">
        <v>2016</v>
      </c>
      <c r="O5" s="121">
        <f>526139.29</f>
        <v>526139.29</v>
      </c>
    </row>
    <row r="6" spans="1:15" x14ac:dyDescent="0.2">
      <c r="A6" s="118" t="s">
        <v>258</v>
      </c>
      <c r="B6" s="122">
        <v>19604.87</v>
      </c>
      <c r="C6" s="122">
        <v>51566.94</v>
      </c>
      <c r="D6" s="121">
        <f t="shared" si="0"/>
        <v>163.03127743259711</v>
      </c>
      <c r="E6" s="118"/>
      <c r="N6" s="120">
        <v>2017</v>
      </c>
      <c r="O6" s="121">
        <f>B15</f>
        <v>406608.08</v>
      </c>
    </row>
    <row r="7" spans="1:15" x14ac:dyDescent="0.2">
      <c r="A7" s="118" t="s">
        <v>259</v>
      </c>
      <c r="B7" s="122">
        <v>32069.42</v>
      </c>
      <c r="C7" s="122">
        <v>66411.05</v>
      </c>
      <c r="D7" s="121">
        <f t="shared" si="0"/>
        <v>107.08528560853301</v>
      </c>
      <c r="E7" s="118"/>
      <c r="N7" s="120">
        <v>2018</v>
      </c>
      <c r="O7" s="121">
        <f>B32</f>
        <v>710048.76</v>
      </c>
    </row>
    <row r="8" spans="1:15" x14ac:dyDescent="0.2">
      <c r="A8" s="118" t="s">
        <v>260</v>
      </c>
      <c r="B8" s="122">
        <v>22136.53</v>
      </c>
      <c r="C8" s="122">
        <v>77092.649999999994</v>
      </c>
      <c r="D8" s="121">
        <f t="shared" si="0"/>
        <v>248.25986728723967</v>
      </c>
      <c r="E8" s="118"/>
      <c r="N8" s="120">
        <v>2019</v>
      </c>
      <c r="O8" s="121">
        <f>C32</f>
        <v>1147547.42</v>
      </c>
    </row>
    <row r="9" spans="1:15" x14ac:dyDescent="0.2">
      <c r="A9" s="118" t="s">
        <v>261</v>
      </c>
      <c r="B9" s="122">
        <v>14907.16</v>
      </c>
      <c r="C9" s="122">
        <v>70899.42</v>
      </c>
      <c r="D9" s="121">
        <f t="shared" si="0"/>
        <v>375.60648708405893</v>
      </c>
      <c r="E9" s="118"/>
      <c r="N9" s="120">
        <v>2020</v>
      </c>
      <c r="O9" s="121">
        <f>C52</f>
        <v>758190.25000000012</v>
      </c>
    </row>
    <row r="10" spans="1:15" x14ac:dyDescent="0.2">
      <c r="A10" s="118" t="s">
        <v>262</v>
      </c>
      <c r="B10" s="122">
        <v>20734.96</v>
      </c>
      <c r="C10" s="122">
        <v>89278.31</v>
      </c>
      <c r="D10" s="121">
        <f t="shared" si="0"/>
        <v>330.56900037424714</v>
      </c>
      <c r="E10" s="118"/>
    </row>
    <row r="11" spans="1:15" x14ac:dyDescent="0.2">
      <c r="A11" s="118" t="s">
        <v>263</v>
      </c>
      <c r="B11" s="122">
        <v>54773.62</v>
      </c>
      <c r="C11" s="122">
        <v>79349.789999999994</v>
      </c>
      <c r="D11" s="121">
        <f t="shared" si="0"/>
        <v>44.868624713867717</v>
      </c>
      <c r="E11" s="118"/>
    </row>
    <row r="12" spans="1:15" x14ac:dyDescent="0.2">
      <c r="A12" s="118" t="s">
        <v>264</v>
      </c>
      <c r="B12" s="122">
        <v>41116.300000000003</v>
      </c>
      <c r="C12" s="122">
        <v>99739.23</v>
      </c>
      <c r="D12" s="121">
        <f t="shared" si="0"/>
        <v>142.57832052008567</v>
      </c>
      <c r="E12" s="118"/>
    </row>
    <row r="13" spans="1:15" x14ac:dyDescent="0.2">
      <c r="A13" s="118" t="s">
        <v>265</v>
      </c>
      <c r="B13" s="122">
        <v>59335.05</v>
      </c>
      <c r="C13" s="122">
        <v>16306.34</v>
      </c>
      <c r="D13" s="123">
        <f t="shared" si="0"/>
        <v>-72.518199613887575</v>
      </c>
      <c r="E13" s="118"/>
    </row>
    <row r="14" spans="1:15" x14ac:dyDescent="0.2">
      <c r="A14" s="118" t="s">
        <v>266</v>
      </c>
      <c r="B14" s="122">
        <v>28782.51</v>
      </c>
      <c r="C14" s="122">
        <v>29169.56</v>
      </c>
      <c r="D14" s="121">
        <f t="shared" si="0"/>
        <v>1.3447402606652474</v>
      </c>
      <c r="E14" s="118"/>
    </row>
    <row r="15" spans="1:15" x14ac:dyDescent="0.2">
      <c r="A15" s="124" t="s">
        <v>107</v>
      </c>
      <c r="B15" s="125">
        <f>SUM(B3:B14)</f>
        <v>406608.08</v>
      </c>
      <c r="C15" s="125">
        <f>SUM(C3:C14)</f>
        <v>710048.76</v>
      </c>
      <c r="D15" s="125">
        <f t="shared" si="0"/>
        <v>74.627311882242964</v>
      </c>
      <c r="E15" s="118"/>
    </row>
    <row r="16" spans="1:15" x14ac:dyDescent="0.2">
      <c r="F16" t="s">
        <v>267</v>
      </c>
      <c r="I16" s="126">
        <v>750000</v>
      </c>
    </row>
    <row r="18" spans="1:4" ht="12.75" customHeight="1" x14ac:dyDescent="0.2">
      <c r="A18" s="217" t="s">
        <v>251</v>
      </c>
      <c r="B18" s="218">
        <v>2018</v>
      </c>
      <c r="C18" s="217">
        <v>2019</v>
      </c>
      <c r="D18" s="217" t="s">
        <v>252</v>
      </c>
    </row>
    <row r="19" spans="1:4" x14ac:dyDescent="0.2">
      <c r="A19" s="217"/>
      <c r="B19" s="218"/>
      <c r="C19" s="217"/>
      <c r="D19" s="217"/>
    </row>
    <row r="20" spans="1:4" x14ac:dyDescent="0.2">
      <c r="A20" s="118" t="s">
        <v>255</v>
      </c>
      <c r="B20" s="121">
        <f t="shared" ref="B20:B31" si="1">C3</f>
        <v>40355.589999999997</v>
      </c>
      <c r="C20" s="121">
        <v>17058.23</v>
      </c>
      <c r="D20" s="123">
        <f t="shared" ref="D20:D32" si="2">C20/B20*100-100</f>
        <v>-57.730193016630402</v>
      </c>
    </row>
    <row r="21" spans="1:4" x14ac:dyDescent="0.2">
      <c r="A21" s="118" t="s">
        <v>256</v>
      </c>
      <c r="B21" s="121">
        <f t="shared" si="1"/>
        <v>44414.12</v>
      </c>
      <c r="C21" s="121">
        <v>13465.4</v>
      </c>
      <c r="D21" s="123">
        <f t="shared" si="2"/>
        <v>-69.68216414059313</v>
      </c>
    </row>
    <row r="22" spans="1:4" x14ac:dyDescent="0.2">
      <c r="A22" s="118" t="s">
        <v>257</v>
      </c>
      <c r="B22" s="121">
        <f t="shared" si="1"/>
        <v>45465.760000000002</v>
      </c>
      <c r="C22" s="121">
        <v>19039.939999999999</v>
      </c>
      <c r="D22" s="123">
        <f t="shared" si="2"/>
        <v>-58.12246402567559</v>
      </c>
    </row>
    <row r="23" spans="1:4" x14ac:dyDescent="0.2">
      <c r="A23" s="118" t="s">
        <v>258</v>
      </c>
      <c r="B23" s="121">
        <f t="shared" si="1"/>
        <v>51566.94</v>
      </c>
      <c r="C23" s="121">
        <v>258055.04000000001</v>
      </c>
      <c r="D23" s="121">
        <f t="shared" si="2"/>
        <v>400.42728926711567</v>
      </c>
    </row>
    <row r="24" spans="1:4" x14ac:dyDescent="0.2">
      <c r="A24" s="118" t="s">
        <v>259</v>
      </c>
      <c r="B24" s="121">
        <f t="shared" si="1"/>
        <v>66411.05</v>
      </c>
      <c r="C24" s="121">
        <v>119663.27</v>
      </c>
      <c r="D24" s="121">
        <f t="shared" si="2"/>
        <v>80.185782335921516</v>
      </c>
    </row>
    <row r="25" spans="1:4" x14ac:dyDescent="0.2">
      <c r="A25" s="118" t="s">
        <v>260</v>
      </c>
      <c r="B25" s="121">
        <f t="shared" si="1"/>
        <v>77092.649999999994</v>
      </c>
      <c r="C25" s="121">
        <f>95828.98</f>
        <v>95828.98</v>
      </c>
      <c r="D25" s="121">
        <f t="shared" si="2"/>
        <v>24.303652812557345</v>
      </c>
    </row>
    <row r="26" spans="1:4" x14ac:dyDescent="0.2">
      <c r="A26" s="118" t="s">
        <v>261</v>
      </c>
      <c r="B26" s="121">
        <f t="shared" si="1"/>
        <v>70899.42</v>
      </c>
      <c r="C26" s="121">
        <v>111224.86</v>
      </c>
      <c r="D26" s="121">
        <f t="shared" si="2"/>
        <v>56.876967399733303</v>
      </c>
    </row>
    <row r="27" spans="1:4" x14ac:dyDescent="0.2">
      <c r="A27" s="118" t="s">
        <v>262</v>
      </c>
      <c r="B27" s="121">
        <f t="shared" si="1"/>
        <v>89278.31</v>
      </c>
      <c r="C27" s="121">
        <f>124220.38</f>
        <v>124220.38</v>
      </c>
      <c r="D27" s="121">
        <f t="shared" si="2"/>
        <v>39.138364066255292</v>
      </c>
    </row>
    <row r="28" spans="1:4" x14ac:dyDescent="0.2">
      <c r="A28" s="118" t="s">
        <v>263</v>
      </c>
      <c r="B28" s="121">
        <f t="shared" si="1"/>
        <v>79349.789999999994</v>
      </c>
      <c r="C28" s="121">
        <v>91414.82</v>
      </c>
      <c r="D28" s="121">
        <f t="shared" si="2"/>
        <v>15.204866956799762</v>
      </c>
    </row>
    <row r="29" spans="1:4" x14ac:dyDescent="0.2">
      <c r="A29" s="118" t="s">
        <v>264</v>
      </c>
      <c r="B29" s="121">
        <f t="shared" si="1"/>
        <v>99739.23</v>
      </c>
      <c r="C29" s="121">
        <v>126349.11</v>
      </c>
      <c r="D29" s="121">
        <f t="shared" si="2"/>
        <v>26.679452006998659</v>
      </c>
    </row>
    <row r="30" spans="1:4" x14ac:dyDescent="0.2">
      <c r="A30" s="118" t="s">
        <v>265</v>
      </c>
      <c r="B30" s="121">
        <f t="shared" si="1"/>
        <v>16306.34</v>
      </c>
      <c r="C30" s="121">
        <v>54836.37</v>
      </c>
      <c r="D30" s="121">
        <f t="shared" si="2"/>
        <v>236.28864601130607</v>
      </c>
    </row>
    <row r="31" spans="1:4" x14ac:dyDescent="0.2">
      <c r="A31" s="118" t="s">
        <v>266</v>
      </c>
      <c r="B31" s="121">
        <f t="shared" si="1"/>
        <v>29169.56</v>
      </c>
      <c r="C31" s="121">
        <v>116391.02</v>
      </c>
      <c r="D31" s="121">
        <f t="shared" si="2"/>
        <v>299.01534339222121</v>
      </c>
    </row>
    <row r="32" spans="1:4" x14ac:dyDescent="0.2">
      <c r="A32" s="124" t="s">
        <v>107</v>
      </c>
      <c r="B32" s="125">
        <f>SUM(B20:B31)</f>
        <v>710048.76</v>
      </c>
      <c r="C32" s="125">
        <f>SUM(C20:C31)</f>
        <v>1147547.42</v>
      </c>
      <c r="D32" s="125">
        <f t="shared" si="2"/>
        <v>61.615298081782441</v>
      </c>
    </row>
    <row r="33" spans="1:9" x14ac:dyDescent="0.2">
      <c r="F33" s="127" t="s">
        <v>268</v>
      </c>
      <c r="G33" s="127"/>
      <c r="H33" s="127"/>
      <c r="I33" s="128">
        <v>1000000</v>
      </c>
    </row>
    <row r="38" spans="1:9" ht="13.5" customHeight="1" x14ac:dyDescent="0.2">
      <c r="A38" s="217" t="s">
        <v>251</v>
      </c>
      <c r="B38" s="218">
        <v>2019</v>
      </c>
      <c r="C38" s="217">
        <v>2020</v>
      </c>
      <c r="D38" s="217" t="s">
        <v>252</v>
      </c>
    </row>
    <row r="39" spans="1:9" x14ac:dyDescent="0.2">
      <c r="A39" s="217"/>
      <c r="B39" s="218"/>
      <c r="C39" s="217"/>
      <c r="D39" s="217"/>
    </row>
    <row r="40" spans="1:9" x14ac:dyDescent="0.2">
      <c r="A40" s="118" t="s">
        <v>255</v>
      </c>
      <c r="B40" s="121">
        <f t="shared" ref="B40:B51" si="3">C20</f>
        <v>17058.23</v>
      </c>
      <c r="C40" s="121">
        <v>103694.59</v>
      </c>
      <c r="D40" s="121">
        <f t="shared" ref="D40:D52" si="4">C40/B40*100-100</f>
        <v>507.88598817110562</v>
      </c>
    </row>
    <row r="41" spans="1:9" x14ac:dyDescent="0.2">
      <c r="A41" s="118" t="s">
        <v>256</v>
      </c>
      <c r="B41" s="121">
        <f t="shared" si="3"/>
        <v>13465.4</v>
      </c>
      <c r="C41" s="121">
        <v>123024.66</v>
      </c>
      <c r="D41" s="121">
        <f t="shared" si="4"/>
        <v>813.6353914477105</v>
      </c>
    </row>
    <row r="42" spans="1:9" x14ac:dyDescent="0.2">
      <c r="A42" s="118" t="s">
        <v>257</v>
      </c>
      <c r="B42" s="121">
        <f t="shared" si="3"/>
        <v>19039.939999999999</v>
      </c>
      <c r="C42" s="121">
        <v>74304.759999999995</v>
      </c>
      <c r="D42" s="121">
        <f t="shared" si="4"/>
        <v>290.25732223946085</v>
      </c>
    </row>
    <row r="43" spans="1:9" x14ac:dyDescent="0.2">
      <c r="A43" s="118" t="s">
        <v>258</v>
      </c>
      <c r="B43" s="121">
        <f t="shared" si="3"/>
        <v>258055.04000000001</v>
      </c>
      <c r="C43" s="121">
        <v>40070.550000000003</v>
      </c>
      <c r="D43" s="123">
        <f t="shared" si="4"/>
        <v>-84.472091690206867</v>
      </c>
    </row>
    <row r="44" spans="1:9" x14ac:dyDescent="0.2">
      <c r="A44" s="118" t="s">
        <v>259</v>
      </c>
      <c r="B44" s="121">
        <f t="shared" si="3"/>
        <v>119663.27</v>
      </c>
      <c r="C44" s="121">
        <v>39031.51</v>
      </c>
      <c r="D44" s="123">
        <f t="shared" si="4"/>
        <v>-67.382213439428824</v>
      </c>
    </row>
    <row r="45" spans="1:9" x14ac:dyDescent="0.2">
      <c r="A45" s="118" t="s">
        <v>260</v>
      </c>
      <c r="B45" s="121">
        <f t="shared" si="3"/>
        <v>95828.98</v>
      </c>
      <c r="C45" s="121">
        <v>42532.65</v>
      </c>
      <c r="D45" s="123">
        <f t="shared" si="4"/>
        <v>-55.616088160387392</v>
      </c>
    </row>
    <row r="46" spans="1:9" x14ac:dyDescent="0.2">
      <c r="A46" s="118" t="s">
        <v>261</v>
      </c>
      <c r="B46" s="121">
        <f t="shared" si="3"/>
        <v>111224.86</v>
      </c>
      <c r="C46" s="121">
        <v>54773.88</v>
      </c>
      <c r="D46" s="123">
        <f t="shared" si="4"/>
        <v>-50.753923178685056</v>
      </c>
    </row>
    <row r="47" spans="1:9" x14ac:dyDescent="0.2">
      <c r="A47" s="118" t="s">
        <v>262</v>
      </c>
      <c r="B47" s="121">
        <f t="shared" si="3"/>
        <v>124220.38</v>
      </c>
      <c r="C47" s="121">
        <v>68125.490000000005</v>
      </c>
      <c r="D47" s="123">
        <f t="shared" si="4"/>
        <v>-45.157557882209019</v>
      </c>
    </row>
    <row r="48" spans="1:9" x14ac:dyDescent="0.2">
      <c r="A48" s="118" t="s">
        <v>263</v>
      </c>
      <c r="B48" s="121">
        <f t="shared" si="3"/>
        <v>91414.82</v>
      </c>
      <c r="C48" s="121">
        <v>63898.71</v>
      </c>
      <c r="D48" s="123">
        <f t="shared" si="4"/>
        <v>-30.100272581622988</v>
      </c>
    </row>
    <row r="49" spans="1:9" x14ac:dyDescent="0.2">
      <c r="A49" s="118" t="s">
        <v>264</v>
      </c>
      <c r="B49" s="121">
        <f t="shared" si="3"/>
        <v>126349.11</v>
      </c>
      <c r="C49" s="121">
        <v>88464.91</v>
      </c>
      <c r="D49" s="123">
        <f t="shared" si="4"/>
        <v>-29.983748995145277</v>
      </c>
    </row>
    <row r="50" spans="1:9" x14ac:dyDescent="0.2">
      <c r="A50" s="118" t="s">
        <v>265</v>
      </c>
      <c r="B50" s="121">
        <f t="shared" si="3"/>
        <v>54836.37</v>
      </c>
      <c r="C50" s="121">
        <f>Receitas!B29</f>
        <v>60268.54</v>
      </c>
      <c r="D50" s="123">
        <f t="shared" si="4"/>
        <v>9.9061444074434348</v>
      </c>
    </row>
    <row r="51" spans="1:9" x14ac:dyDescent="0.2">
      <c r="A51" s="118" t="s">
        <v>266</v>
      </c>
      <c r="B51" s="121">
        <f t="shared" si="3"/>
        <v>116391.02</v>
      </c>
      <c r="C51" s="121"/>
      <c r="D51" s="123">
        <f t="shared" si="4"/>
        <v>-100</v>
      </c>
    </row>
    <row r="52" spans="1:9" x14ac:dyDescent="0.2">
      <c r="A52" s="124" t="s">
        <v>107</v>
      </c>
      <c r="B52" s="125">
        <f>SUM(B40:B51)</f>
        <v>1147547.42</v>
      </c>
      <c r="C52" s="125">
        <f>SUM(C40:C51)</f>
        <v>758190.25000000012</v>
      </c>
      <c r="D52" s="125">
        <f t="shared" si="4"/>
        <v>-33.929505937105404</v>
      </c>
    </row>
    <row r="53" spans="1:9" x14ac:dyDescent="0.2">
      <c r="F53" s="127" t="s">
        <v>269</v>
      </c>
      <c r="I53" s="129">
        <v>1005000</v>
      </c>
    </row>
  </sheetData>
  <mergeCells count="12">
    <mergeCell ref="A38:A39"/>
    <mergeCell ref="B38:B39"/>
    <mergeCell ref="C38:C39"/>
    <mergeCell ref="D38:D39"/>
    <mergeCell ref="A1:A2"/>
    <mergeCell ref="B1:B2"/>
    <mergeCell ref="C1:C2"/>
    <mergeCell ref="D1:D2"/>
    <mergeCell ref="A18:A19"/>
    <mergeCell ref="B18:B19"/>
    <mergeCell ref="C18:C19"/>
    <mergeCell ref="D18:D19"/>
  </mergeCells>
  <printOptions horizontalCentered="1"/>
  <pageMargins left="0.51180555555555496" right="0.51180555555555496" top="0.78749999999999998" bottom="0.78749999999999998" header="0.31527777777777799" footer="0.31527777777777799"/>
  <pageSetup paperSize="9" firstPageNumber="0" orientation="landscape" horizontalDpi="300" verticalDpi="300"/>
  <headerFooter>
    <oddHeader>&amp;CARRECADAÇÃO DA DÍVIDA ATIVA</oddHeader>
    <oddFooter>&amp;C&amp;P</oddFooter>
  </headerFooter>
  <colBreaks count="1" manualBreakCount="1">
    <brk id="13" max="104857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50"/>
  <sheetViews>
    <sheetView topLeftCell="A33" zoomScale="160" zoomScaleNormal="160" workbookViewId="0">
      <selection activeCell="C49" sqref="C49"/>
    </sheetView>
  </sheetViews>
  <sheetFormatPr defaultRowHeight="12.75" x14ac:dyDescent="0.2"/>
  <cols>
    <col min="1" max="1" width="8.7109375" customWidth="1"/>
    <col min="2" max="2" width="11.5703125"/>
    <col min="3" max="3" width="11.140625" customWidth="1"/>
    <col min="4" max="4" width="9.7109375" customWidth="1"/>
    <col min="5" max="1025" width="8.7109375" customWidth="1"/>
  </cols>
  <sheetData>
    <row r="1" spans="1:4" ht="12.75" customHeight="1" x14ac:dyDescent="0.2">
      <c r="A1" s="217" t="s">
        <v>251</v>
      </c>
      <c r="B1" s="218">
        <v>2017</v>
      </c>
      <c r="C1" s="217">
        <v>2018</v>
      </c>
      <c r="D1" s="217" t="s">
        <v>252</v>
      </c>
    </row>
    <row r="2" spans="1:4" x14ac:dyDescent="0.2">
      <c r="A2" s="217"/>
      <c r="B2" s="218"/>
      <c r="C2" s="217"/>
      <c r="D2" s="217"/>
    </row>
    <row r="3" spans="1:4" x14ac:dyDescent="0.2">
      <c r="A3" s="118" t="s">
        <v>255</v>
      </c>
      <c r="B3" s="122">
        <v>10138.93</v>
      </c>
      <c r="C3" s="122">
        <v>21853.77</v>
      </c>
      <c r="D3" s="121">
        <f t="shared" ref="D3:D15" si="0">C3/B3*100-100</f>
        <v>115.54315889349272</v>
      </c>
    </row>
    <row r="4" spans="1:4" x14ac:dyDescent="0.2">
      <c r="A4" s="118" t="s">
        <v>256</v>
      </c>
      <c r="B4" s="122">
        <v>21961.07</v>
      </c>
      <c r="C4" s="122">
        <v>22848.15</v>
      </c>
      <c r="D4" s="121">
        <f t="shared" si="0"/>
        <v>4.0393295955069703</v>
      </c>
    </row>
    <row r="5" spans="1:4" x14ac:dyDescent="0.2">
      <c r="A5" s="118" t="s">
        <v>257</v>
      </c>
      <c r="B5" s="122">
        <v>12220.54</v>
      </c>
      <c r="C5" s="122">
        <v>31034.71</v>
      </c>
      <c r="D5" s="121">
        <f t="shared" si="0"/>
        <v>153.95530803057801</v>
      </c>
    </row>
    <row r="6" spans="1:4" x14ac:dyDescent="0.2">
      <c r="A6" s="118" t="s">
        <v>258</v>
      </c>
      <c r="B6" s="122">
        <v>16422.689999999999</v>
      </c>
      <c r="C6" s="122">
        <v>16067.17</v>
      </c>
      <c r="D6" s="123">
        <f t="shared" si="0"/>
        <v>-2.1648097845115473</v>
      </c>
    </row>
    <row r="7" spans="1:4" x14ac:dyDescent="0.2">
      <c r="A7" s="118" t="s">
        <v>259</v>
      </c>
      <c r="B7" s="122">
        <v>39579.68</v>
      </c>
      <c r="C7" s="122">
        <v>44762.400000000001</v>
      </c>
      <c r="D7" s="121">
        <f t="shared" si="0"/>
        <v>13.094395912245886</v>
      </c>
    </row>
    <row r="8" spans="1:4" x14ac:dyDescent="0.2">
      <c r="A8" s="118" t="s">
        <v>260</v>
      </c>
      <c r="B8" s="122">
        <v>21459.71</v>
      </c>
      <c r="C8" s="122">
        <v>30736.02</v>
      </c>
      <c r="D8" s="121">
        <f t="shared" si="0"/>
        <v>43.226632605939244</v>
      </c>
    </row>
    <row r="9" spans="1:4" x14ac:dyDescent="0.2">
      <c r="A9" s="118" t="s">
        <v>261</v>
      </c>
      <c r="B9" s="122">
        <v>13165.26</v>
      </c>
      <c r="C9" s="122">
        <v>42326.2</v>
      </c>
      <c r="D9" s="121">
        <f t="shared" si="0"/>
        <v>221.49915763152416</v>
      </c>
    </row>
    <row r="10" spans="1:4" x14ac:dyDescent="0.2">
      <c r="A10" s="118" t="s">
        <v>262</v>
      </c>
      <c r="B10" s="122">
        <v>24543.279999999999</v>
      </c>
      <c r="C10" s="122">
        <v>34632.46</v>
      </c>
      <c r="D10" s="121">
        <f t="shared" si="0"/>
        <v>41.107708505138675</v>
      </c>
    </row>
    <row r="11" spans="1:4" x14ac:dyDescent="0.2">
      <c r="A11" s="118" t="s">
        <v>263</v>
      </c>
      <c r="B11" s="122">
        <v>23211.119999999999</v>
      </c>
      <c r="C11" s="122">
        <v>18477.009999999998</v>
      </c>
      <c r="D11" s="123">
        <f t="shared" si="0"/>
        <v>-20.39587059995381</v>
      </c>
    </row>
    <row r="12" spans="1:4" x14ac:dyDescent="0.2">
      <c r="A12" s="118" t="s">
        <v>264</v>
      </c>
      <c r="B12" s="122">
        <v>24314.31</v>
      </c>
      <c r="C12" s="122">
        <v>61182.51</v>
      </c>
      <c r="D12" s="121">
        <f t="shared" si="0"/>
        <v>151.63169343485379</v>
      </c>
    </row>
    <row r="13" spans="1:4" x14ac:dyDescent="0.2">
      <c r="A13" s="118" t="s">
        <v>265</v>
      </c>
      <c r="B13" s="122">
        <v>28079.78</v>
      </c>
      <c r="C13" s="122">
        <v>70310.36</v>
      </c>
      <c r="D13" s="121">
        <f t="shared" si="0"/>
        <v>150.39498172706485</v>
      </c>
    </row>
    <row r="14" spans="1:4" x14ac:dyDescent="0.2">
      <c r="A14" s="118" t="s">
        <v>266</v>
      </c>
      <c r="B14" s="122">
        <v>18110.53</v>
      </c>
      <c r="C14" s="122">
        <v>61583.25</v>
      </c>
      <c r="D14" s="121">
        <f t="shared" si="0"/>
        <v>240.04112524592045</v>
      </c>
    </row>
    <row r="15" spans="1:4" x14ac:dyDescent="0.2">
      <c r="A15" s="124" t="s">
        <v>107</v>
      </c>
      <c r="B15" s="125">
        <f>SUM(B3:B14)</f>
        <v>253206.9</v>
      </c>
      <c r="C15" s="125">
        <f>SUM(C3:C14)</f>
        <v>455814.00999999995</v>
      </c>
      <c r="D15" s="125">
        <f t="shared" si="0"/>
        <v>80.016425302785962</v>
      </c>
    </row>
    <row r="18" spans="1:4" ht="12.75" customHeight="1" x14ac:dyDescent="0.2">
      <c r="A18" s="217" t="s">
        <v>251</v>
      </c>
      <c r="B18" s="218">
        <v>2018</v>
      </c>
      <c r="C18" s="217">
        <v>2019</v>
      </c>
      <c r="D18" s="217" t="s">
        <v>252</v>
      </c>
    </row>
    <row r="19" spans="1:4" x14ac:dyDescent="0.2">
      <c r="A19" s="217"/>
      <c r="B19" s="218"/>
      <c r="C19" s="217"/>
      <c r="D19" s="217"/>
    </row>
    <row r="20" spans="1:4" x14ac:dyDescent="0.2">
      <c r="A20" s="118" t="s">
        <v>255</v>
      </c>
      <c r="B20" s="121">
        <f t="shared" ref="B20:B31" si="1">C3</f>
        <v>21853.77</v>
      </c>
      <c r="C20" s="122">
        <v>59213.7</v>
      </c>
      <c r="D20" s="121">
        <f t="shared" ref="D20:D32" si="2">C20/B20*100-100</f>
        <v>170.95416488779739</v>
      </c>
    </row>
    <row r="21" spans="1:4" x14ac:dyDescent="0.2">
      <c r="A21" s="118" t="s">
        <v>256</v>
      </c>
      <c r="B21" s="121">
        <f t="shared" si="1"/>
        <v>22848.15</v>
      </c>
      <c r="C21" s="122">
        <v>42412.29</v>
      </c>
      <c r="D21" s="121">
        <f t="shared" si="2"/>
        <v>85.626801294634362</v>
      </c>
    </row>
    <row r="22" spans="1:4" x14ac:dyDescent="0.2">
      <c r="A22" s="118" t="s">
        <v>257</v>
      </c>
      <c r="B22" s="121">
        <f t="shared" si="1"/>
        <v>31034.71</v>
      </c>
      <c r="C22" s="122">
        <v>63578.97</v>
      </c>
      <c r="D22" s="121">
        <f t="shared" si="2"/>
        <v>104.86406993975456</v>
      </c>
    </row>
    <row r="23" spans="1:4" x14ac:dyDescent="0.2">
      <c r="A23" s="118" t="s">
        <v>258</v>
      </c>
      <c r="B23" s="121">
        <f t="shared" si="1"/>
        <v>16067.17</v>
      </c>
      <c r="C23" s="122">
        <v>-146973.95000000001</v>
      </c>
      <c r="D23" s="123">
        <f t="shared" si="2"/>
        <v>-1014.7469653958975</v>
      </c>
    </row>
    <row r="24" spans="1:4" x14ac:dyDescent="0.2">
      <c r="A24" s="118" t="s">
        <v>259</v>
      </c>
      <c r="B24" s="121">
        <f t="shared" si="1"/>
        <v>44762.400000000001</v>
      </c>
      <c r="C24" s="121">
        <v>57832.89</v>
      </c>
      <c r="D24" s="121">
        <f t="shared" si="2"/>
        <v>29.199707790466988</v>
      </c>
    </row>
    <row r="25" spans="1:4" x14ac:dyDescent="0.2">
      <c r="A25" s="118" t="s">
        <v>260</v>
      </c>
      <c r="B25" s="121">
        <f t="shared" si="1"/>
        <v>30736.02</v>
      </c>
      <c r="C25" s="121">
        <v>39523.599999999999</v>
      </c>
      <c r="D25" s="121">
        <f t="shared" si="2"/>
        <v>28.590494149860632</v>
      </c>
    </row>
    <row r="26" spans="1:4" x14ac:dyDescent="0.2">
      <c r="A26" s="118" t="s">
        <v>261</v>
      </c>
      <c r="B26" s="121">
        <f t="shared" si="1"/>
        <v>42326.2</v>
      </c>
      <c r="C26" s="121">
        <v>30575.21</v>
      </c>
      <c r="D26" s="123">
        <f t="shared" si="2"/>
        <v>-27.762922256191203</v>
      </c>
    </row>
    <row r="27" spans="1:4" x14ac:dyDescent="0.2">
      <c r="A27" s="118" t="s">
        <v>262</v>
      </c>
      <c r="B27" s="121">
        <f t="shared" si="1"/>
        <v>34632.46</v>
      </c>
      <c r="C27" s="121">
        <f>27986.26</f>
        <v>27986.26</v>
      </c>
      <c r="D27" s="123">
        <f t="shared" si="2"/>
        <v>-19.190666790635149</v>
      </c>
    </row>
    <row r="28" spans="1:4" x14ac:dyDescent="0.2">
      <c r="A28" s="118" t="s">
        <v>263</v>
      </c>
      <c r="B28" s="121">
        <f t="shared" si="1"/>
        <v>18477.009999999998</v>
      </c>
      <c r="C28" s="121">
        <v>24609.35</v>
      </c>
      <c r="D28" s="121">
        <f t="shared" si="2"/>
        <v>33.189027878428391</v>
      </c>
    </row>
    <row r="29" spans="1:4" x14ac:dyDescent="0.2">
      <c r="A29" s="118" t="s">
        <v>264</v>
      </c>
      <c r="B29" s="121">
        <f t="shared" si="1"/>
        <v>61182.51</v>
      </c>
      <c r="C29" s="121">
        <v>51953.279999999999</v>
      </c>
      <c r="D29" s="123">
        <f t="shared" si="2"/>
        <v>-15.084752162014937</v>
      </c>
    </row>
    <row r="30" spans="1:4" x14ac:dyDescent="0.2">
      <c r="A30" s="118" t="s">
        <v>265</v>
      </c>
      <c r="B30" s="121">
        <f t="shared" si="1"/>
        <v>70310.36</v>
      </c>
      <c r="C30" s="121">
        <v>30000.85</v>
      </c>
      <c r="D30" s="123">
        <f t="shared" si="2"/>
        <v>-57.330825784422103</v>
      </c>
    </row>
    <row r="31" spans="1:4" x14ac:dyDescent="0.2">
      <c r="A31" s="118" t="s">
        <v>266</v>
      </c>
      <c r="B31" s="121">
        <f t="shared" si="1"/>
        <v>61583.25</v>
      </c>
      <c r="C31" s="121">
        <v>40027.93</v>
      </c>
      <c r="D31" s="121">
        <f t="shared" si="2"/>
        <v>-35.001920164979921</v>
      </c>
    </row>
    <row r="32" spans="1:4" x14ac:dyDescent="0.2">
      <c r="A32" s="124" t="s">
        <v>107</v>
      </c>
      <c r="B32" s="125">
        <f>SUM(B20:B31)</f>
        <v>455814.00999999995</v>
      </c>
      <c r="C32" s="125">
        <f>SUM(C20:C31)</f>
        <v>320740.37999999995</v>
      </c>
      <c r="D32" s="130">
        <f t="shared" si="2"/>
        <v>-29.63349678523484</v>
      </c>
    </row>
    <row r="36" spans="1:4" ht="13.5" customHeight="1" x14ac:dyDescent="0.2">
      <c r="A36" s="217" t="s">
        <v>251</v>
      </c>
      <c r="B36" s="218">
        <v>2019</v>
      </c>
      <c r="C36" s="217">
        <v>2020</v>
      </c>
      <c r="D36" s="217" t="s">
        <v>252</v>
      </c>
    </row>
    <row r="37" spans="1:4" x14ac:dyDescent="0.2">
      <c r="A37" s="217"/>
      <c r="B37" s="218"/>
      <c r="C37" s="217"/>
      <c r="D37" s="217"/>
    </row>
    <row r="38" spans="1:4" x14ac:dyDescent="0.2">
      <c r="A38" s="118" t="s">
        <v>255</v>
      </c>
      <c r="B38" s="121">
        <f t="shared" ref="B38:B49" si="3">C20</f>
        <v>59213.7</v>
      </c>
      <c r="C38" s="122">
        <v>45864.42</v>
      </c>
      <c r="D38" s="123">
        <f t="shared" ref="D38:D50" si="4">C38/B38*100-100</f>
        <v>-22.544242295279631</v>
      </c>
    </row>
    <row r="39" spans="1:4" x14ac:dyDescent="0.2">
      <c r="A39" s="118" t="s">
        <v>256</v>
      </c>
      <c r="B39" s="121">
        <f t="shared" si="3"/>
        <v>42412.29</v>
      </c>
      <c r="C39" s="122">
        <v>31794.39</v>
      </c>
      <c r="D39" s="123">
        <f t="shared" si="4"/>
        <v>-25.034960385303421</v>
      </c>
    </row>
    <row r="40" spans="1:4" x14ac:dyDescent="0.2">
      <c r="A40" s="118" t="s">
        <v>257</v>
      </c>
      <c r="B40" s="121">
        <f t="shared" si="3"/>
        <v>63578.97</v>
      </c>
      <c r="C40" s="122">
        <v>25859.5</v>
      </c>
      <c r="D40" s="123">
        <f t="shared" si="4"/>
        <v>-59.326959842224561</v>
      </c>
    </row>
    <row r="41" spans="1:4" x14ac:dyDescent="0.2">
      <c r="A41" s="118" t="s">
        <v>258</v>
      </c>
      <c r="B41" s="121">
        <f t="shared" si="3"/>
        <v>-146973.95000000001</v>
      </c>
      <c r="C41" s="122">
        <v>20933.03</v>
      </c>
      <c r="D41" s="123">
        <f t="shared" si="4"/>
        <v>-114.24268042057793</v>
      </c>
    </row>
    <row r="42" spans="1:4" x14ac:dyDescent="0.2">
      <c r="A42" s="118" t="s">
        <v>259</v>
      </c>
      <c r="B42" s="121">
        <f t="shared" si="3"/>
        <v>57832.89</v>
      </c>
      <c r="C42" s="121">
        <v>9356.6299999999992</v>
      </c>
      <c r="D42" s="123">
        <f t="shared" si="4"/>
        <v>-83.821265027564763</v>
      </c>
    </row>
    <row r="43" spans="1:4" x14ac:dyDescent="0.2">
      <c r="A43" s="118" t="s">
        <v>260</v>
      </c>
      <c r="B43" s="121">
        <f t="shared" si="3"/>
        <v>39523.599999999999</v>
      </c>
      <c r="C43" s="121">
        <v>17154.64</v>
      </c>
      <c r="D43" s="123">
        <f t="shared" si="4"/>
        <v>-56.596463884868783</v>
      </c>
    </row>
    <row r="44" spans="1:4" x14ac:dyDescent="0.2">
      <c r="A44" s="118" t="s">
        <v>261</v>
      </c>
      <c r="B44" s="121">
        <f t="shared" si="3"/>
        <v>30575.21</v>
      </c>
      <c r="C44" s="121">
        <v>15316.94</v>
      </c>
      <c r="D44" s="123">
        <f t="shared" si="4"/>
        <v>-49.904056259956995</v>
      </c>
    </row>
    <row r="45" spans="1:4" x14ac:dyDescent="0.2">
      <c r="A45" s="118" t="s">
        <v>262</v>
      </c>
      <c r="B45" s="121">
        <f t="shared" si="3"/>
        <v>27986.26</v>
      </c>
      <c r="C45" s="121">
        <v>9201.1299999999992</v>
      </c>
      <c r="D45" s="123">
        <f t="shared" si="4"/>
        <v>-67.122688061927533</v>
      </c>
    </row>
    <row r="46" spans="1:4" x14ac:dyDescent="0.2">
      <c r="A46" s="118" t="s">
        <v>263</v>
      </c>
      <c r="B46" s="121">
        <f t="shared" si="3"/>
        <v>24609.35</v>
      </c>
      <c r="C46" s="121">
        <v>14941.47</v>
      </c>
      <c r="D46" s="123">
        <f t="shared" si="4"/>
        <v>-39.285393559764884</v>
      </c>
    </row>
    <row r="47" spans="1:4" x14ac:dyDescent="0.2">
      <c r="A47" s="118" t="s">
        <v>264</v>
      </c>
      <c r="B47" s="121">
        <f t="shared" si="3"/>
        <v>51953.279999999999</v>
      </c>
      <c r="C47" s="121">
        <v>8377.6299999999992</v>
      </c>
      <c r="D47" s="123">
        <f t="shared" si="4"/>
        <v>-83.874685101691369</v>
      </c>
    </row>
    <row r="48" spans="1:4" x14ac:dyDescent="0.2">
      <c r="A48" s="118" t="s">
        <v>265</v>
      </c>
      <c r="B48" s="121">
        <f t="shared" si="3"/>
        <v>30000.85</v>
      </c>
      <c r="C48" s="121">
        <f>Receitas!B32</f>
        <v>8316.2999999999993</v>
      </c>
      <c r="D48" s="123">
        <f t="shared" si="4"/>
        <v>-72.279785406080165</v>
      </c>
    </row>
    <row r="49" spans="1:4" x14ac:dyDescent="0.2">
      <c r="A49" s="118" t="s">
        <v>266</v>
      </c>
      <c r="B49" s="121">
        <f t="shared" si="3"/>
        <v>40027.93</v>
      </c>
      <c r="C49" s="121"/>
      <c r="D49" s="123">
        <f t="shared" si="4"/>
        <v>-100</v>
      </c>
    </row>
    <row r="50" spans="1:4" x14ac:dyDescent="0.2">
      <c r="A50" s="124" t="s">
        <v>107</v>
      </c>
      <c r="B50" s="125">
        <f>SUM(B38:B49)</f>
        <v>320740.37999999995</v>
      </c>
      <c r="C50" s="125">
        <f>SUM(C38:C49)</f>
        <v>207116.08</v>
      </c>
      <c r="D50" s="131">
        <f t="shared" si="4"/>
        <v>-35.425629912890912</v>
      </c>
    </row>
  </sheetData>
  <mergeCells count="12">
    <mergeCell ref="A36:A37"/>
    <mergeCell ref="B36:B37"/>
    <mergeCell ref="C36:C37"/>
    <mergeCell ref="D36:D37"/>
    <mergeCell ref="A1:A2"/>
    <mergeCell ref="B1:B2"/>
    <mergeCell ref="C1:C2"/>
    <mergeCell ref="D1:D2"/>
    <mergeCell ref="A18:A19"/>
    <mergeCell ref="B18:B19"/>
    <mergeCell ref="C18:C19"/>
    <mergeCell ref="D18:D19"/>
  </mergeCells>
  <printOptions horizontalCentered="1"/>
  <pageMargins left="0.51180555555555496" right="0.51180555555555496" top="0.78749999999999998" bottom="0.78749999999999998" header="0.31527777777777799" footer="0.31527777777777799"/>
  <pageSetup paperSize="9" firstPageNumber="0" orientation="landscape" horizontalDpi="300" verticalDpi="300"/>
  <headerFooter>
    <oddHeader>&amp;CARRECADAÇÃO DE MULTAS/AUTOS DE INFRAÇÃO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15</vt:i4>
      </vt:variant>
      <vt:variant>
        <vt:lpstr>Intervalos Nomeados</vt:lpstr>
      </vt:variant>
      <vt:variant>
        <vt:i4>3</vt:i4>
      </vt:variant>
    </vt:vector>
  </HeadingPairs>
  <TitlesOfParts>
    <vt:vector size="18" baseType="lpstr">
      <vt:lpstr>Diárias de Servidores</vt:lpstr>
      <vt:lpstr>Diárias de Conselheiros</vt:lpstr>
      <vt:lpstr>Comparativos</vt:lpstr>
      <vt:lpstr>Receitas</vt:lpstr>
      <vt:lpstr>Despesas</vt:lpstr>
      <vt:lpstr>Balanço Financeiro</vt:lpstr>
      <vt:lpstr>Receita x Despesa por origem</vt:lpstr>
      <vt:lpstr>Dívida Ativa</vt:lpstr>
      <vt:lpstr>Multas</vt:lpstr>
      <vt:lpstr>ART´s</vt:lpstr>
      <vt:lpstr>Diárias de Convidados</vt:lpstr>
      <vt:lpstr>LRFiscal</vt:lpstr>
      <vt:lpstr>Demais Despesas</vt:lpstr>
      <vt:lpstr>Conciliação Bancária</vt:lpstr>
      <vt:lpstr>Planilha2</vt:lpstr>
      <vt:lpstr>Comparativos!Area_de_impressao</vt:lpstr>
      <vt:lpstr>'Diárias de Servidores'!Area_de_impressao</vt:lpstr>
      <vt:lpstr>Receitas!Area_de_impressao</vt:lpstr>
    </vt:vector>
  </TitlesOfParts>
  <Company>CREA-RN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contador</dc:creator>
  <dc:description/>
  <cp:lastModifiedBy>Sales</cp:lastModifiedBy>
  <cp:revision>264</cp:revision>
  <cp:lastPrinted>2022-06-01T19:11:03Z</cp:lastPrinted>
  <dcterms:created xsi:type="dcterms:W3CDTF">2003-04-23T14:55:13Z</dcterms:created>
  <dcterms:modified xsi:type="dcterms:W3CDTF">2022-06-01T19:11:33Z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CREA-RN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